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ilica.stevanovic\Desktop\priprema sifarnika 08.07.2026\obezbojene liste\Lista sajt primena od 8. dana\"/>
    </mc:Choice>
  </mc:AlternateContent>
  <xr:revisionPtr revIDLastSave="0" documentId="13_ncr:1_{AEC78B3A-B367-421D-AD3D-0A4A8AFCE884}" xr6:coauthVersionLast="36" xr6:coauthVersionMax="36" xr10:uidLastSave="{00000000-0000-0000-0000-000000000000}"/>
  <bookViews>
    <workbookView xWindow="0" yWindow="0" windowWidth="28800" windowHeight="10965" xr2:uid="{7B166BF5-6F70-484D-B926-8DE4856B70A1}"/>
  </bookViews>
  <sheets>
    <sheet name="Sheet1" sheetId="1" r:id="rId1"/>
  </sheets>
  <definedNames>
    <definedName name="_xlnm._FilterDatabase" localSheetId="0" hidden="1">Sheet1!$A$1:$WVG$317</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1" i="1" l="1"/>
  <c r="K316" i="1" l="1"/>
  <c r="K279" i="1"/>
  <c r="K278" i="1"/>
  <c r="K180" i="1"/>
  <c r="K158" i="1"/>
  <c r="K238" i="1" l="1"/>
  <c r="K233" i="1"/>
  <c r="K232" i="1"/>
  <c r="K231" i="1"/>
  <c r="K179" i="1"/>
  <c r="K177" i="1"/>
  <c r="K176" i="1"/>
  <c r="K175" i="1"/>
  <c r="K174" i="1"/>
  <c r="K150" i="1"/>
  <c r="K149" i="1"/>
  <c r="K148" i="1"/>
  <c r="K147" i="1"/>
  <c r="K146" i="1"/>
  <c r="K145" i="1"/>
  <c r="K144" i="1"/>
  <c r="K143" i="1"/>
  <c r="K142" i="1"/>
  <c r="K93" i="1"/>
  <c r="K313" i="1" l="1"/>
  <c r="K312" i="1"/>
  <c r="K315" i="1"/>
  <c r="K314" i="1"/>
  <c r="K311" i="1"/>
  <c r="K310" i="1"/>
  <c r="K309" i="1"/>
  <c r="K308" i="1"/>
  <c r="K307" i="1"/>
  <c r="K306" i="1"/>
  <c r="K305" i="1"/>
  <c r="K304" i="1"/>
  <c r="K303" i="1"/>
  <c r="K302" i="1"/>
  <c r="K301" i="1"/>
  <c r="K300" i="1"/>
  <c r="K299" i="1"/>
  <c r="K298" i="1"/>
  <c r="K297" i="1"/>
  <c r="K296" i="1"/>
  <c r="K295" i="1"/>
  <c r="K294" i="1"/>
  <c r="K293" i="1"/>
  <c r="K292" i="1"/>
  <c r="K288" i="1"/>
  <c r="K287" i="1"/>
  <c r="K286" i="1"/>
  <c r="K285" i="1"/>
  <c r="K284" i="1"/>
  <c r="K283" i="1"/>
  <c r="K282" i="1"/>
  <c r="K281" i="1"/>
  <c r="K280"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90" i="1"/>
  <c r="K289" i="1"/>
  <c r="K251" i="1"/>
  <c r="K247" i="1"/>
  <c r="K245" i="1"/>
  <c r="K244" i="1"/>
  <c r="K243" i="1"/>
  <c r="K242" i="1"/>
  <c r="K241" i="1"/>
  <c r="K240" i="1"/>
  <c r="K237" i="1"/>
  <c r="K236" i="1"/>
  <c r="K235" i="1"/>
  <c r="K234" i="1"/>
  <c r="K230" i="1"/>
  <c r="K229" i="1"/>
  <c r="K228" i="1"/>
  <c r="K227" i="1"/>
  <c r="K226" i="1"/>
  <c r="K225" i="1"/>
  <c r="K224" i="1"/>
  <c r="K223" i="1"/>
  <c r="K222" i="1"/>
  <c r="K221" i="1"/>
  <c r="K220" i="1"/>
  <c r="K219" i="1"/>
  <c r="K218" i="1"/>
  <c r="K215" i="1"/>
  <c r="K214" i="1"/>
  <c r="K213" i="1"/>
  <c r="K212" i="1"/>
  <c r="K211" i="1"/>
  <c r="K210" i="1"/>
  <c r="K209" i="1"/>
  <c r="K208" i="1"/>
  <c r="K207" i="1"/>
  <c r="K206" i="1"/>
  <c r="K205" i="1"/>
  <c r="K204" i="1"/>
  <c r="K203" i="1"/>
  <c r="K202" i="1"/>
  <c r="K173" i="1"/>
  <c r="K172" i="1"/>
  <c r="K171" i="1"/>
  <c r="K170" i="1"/>
  <c r="K169" i="1"/>
  <c r="K168" i="1"/>
  <c r="K167" i="1"/>
  <c r="K166" i="1"/>
  <c r="K165" i="1"/>
  <c r="K164" i="1"/>
  <c r="K163" i="1"/>
  <c r="K162" i="1"/>
  <c r="K161" i="1"/>
  <c r="K160" i="1"/>
  <c r="K159" i="1"/>
  <c r="K157" i="1"/>
  <c r="K156" i="1"/>
  <c r="K155" i="1"/>
  <c r="K154" i="1"/>
  <c r="K153" i="1"/>
  <c r="K152" i="1"/>
  <c r="K151"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2" i="1"/>
  <c r="K91" i="1"/>
  <c r="K90" i="1"/>
  <c r="K89" i="1"/>
  <c r="K88" i="1"/>
  <c r="K87" i="1"/>
  <c r="K86" i="1"/>
  <c r="K85" i="1"/>
  <c r="K47" i="1"/>
  <c r="K44" i="1"/>
  <c r="K43" i="1"/>
  <c r="K42"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<sst xmlns="http://schemas.openxmlformats.org/spreadsheetml/2006/main" count="3830" uniqueCount="1351">
  <si>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</si>
  <si>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</si>
  <si>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</si>
  <si>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</si>
  <si>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</si>
  <si>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</si>
  <si>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</si>
  <si>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</si>
  <si>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</si>
  <si>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</si>
  <si>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</si>
  <si>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</si>
  <si>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</si>
  <si>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</si>
  <si>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0069400</t>
  </si>
  <si>
    <t>B02BX04</t>
  </si>
  <si>
    <t>romiplostim</t>
  </si>
  <si>
    <t>NPLATE ◊</t>
  </si>
  <si>
    <t>prašak za rastvor za injekciju</t>
  </si>
  <si>
    <t>bočica staklena, 1 po 250 mcg</t>
  </si>
  <si>
    <t>Amgen Europe B.V.
Amgen Technology (Ireland) Unlimited Company</t>
  </si>
  <si>
    <t>Holandija,
Irska</t>
  </si>
  <si>
    <t>30 mcg</t>
  </si>
  <si>
    <t>-</t>
  </si>
  <si>
    <t>Terapija refrakterne hronične imunološke trombocitopenijske purpure odraslih pacijenata (D69.3):
1. kod kojih je izvršena splenektomija i koji su rezistentni na primenu lekova prve i druge terapijske linije 
2. koji su rezistentni na primenu lekova prve i druge terapijske linije i kod kojih je splenektomija kontraindikovana.</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</si>
  <si>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</si>
  <si>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0069402</t>
  </si>
  <si>
    <t>prašak i rastvarač za rastvor za injekciju</t>
  </si>
  <si>
    <t>bočica sa praškom, 1 po 250 mcg i napunjeni injekcioni špric sa rastvaračem, 1 po 0,72mL</t>
  </si>
  <si>
    <t>Holandija;
Irska</t>
  </si>
  <si>
    <t>B02BX05</t>
  </si>
  <si>
    <t>eltrombopag</t>
  </si>
  <si>
    <t>REVOLADE ◊</t>
  </si>
  <si>
    <t>film tableta</t>
  </si>
  <si>
    <t>blister, 28 po 25 mg</t>
  </si>
  <si>
    <t>Glaxo Wellcome Operations; Glaxo Wellcome S.A.; Novartis Farmaceutica S.A.</t>
  </si>
  <si>
    <t>Velika Britanija; Španija; Španija</t>
  </si>
  <si>
    <t>50 mg</t>
  </si>
  <si>
    <t xml:space="preserve"> 1. 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
2. Terapija stečene teške aplastične anemije (TAA) kod odraslih pacijenata koji su ili refraktorni na prethodnu imunosupresivnu terapiju ili su pretretirani i nepodesni za transplantaciju hematopoetskih matičnih ćelija (D61).</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</si>
  <si>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UKC Kragujevac, 
 - Vojnomedicinska akademija,
 -  Klinika za hematologiju i kliničku imunologiju UKC Niš,
 -  Univerzitetska dečja klinika,
 -   Institut za zdravstvenu zaštitu majke i deteta Srbije „Dr Vukan Čupić”,
 - Institut za zdravstvenu zaštitu dece i omladine Vojvodine,
 - Klinika za dečje interne bolesti UKC Niš,
 - KBC Zemun.</t>
  </si>
  <si>
    <t>1069112</t>
  </si>
  <si>
    <t>ELMOPAG ◊</t>
  </si>
  <si>
    <t>Elpen Pharmaceutical Co. INC.</t>
  </si>
  <si>
    <t>Grčka</t>
  </si>
  <si>
    <t>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t>
  </si>
  <si>
    <t>1069113</t>
  </si>
  <si>
    <t>blister, 28 po 50 mg</t>
  </si>
  <si>
    <t>0069152</t>
  </si>
  <si>
    <t>B03XA01</t>
  </si>
  <si>
    <t xml:space="preserve">epoetin alfa </t>
  </si>
  <si>
    <t xml:space="preserve">EPREX </t>
  </si>
  <si>
    <t>rastvor za injekciju u  napunjenom injekcionom špricu</t>
  </si>
  <si>
    <t xml:space="preserve"> napunjen injekcioni špric, 6 po 0,5 ml (2000 i.j./0,5 ml)</t>
  </si>
  <si>
    <t>Cilag AG; Janssen Biologics B.V.</t>
  </si>
  <si>
    <t>Švajcarska; Holandija</t>
  </si>
  <si>
    <t>1000 i.j.</t>
  </si>
  <si>
    <t xml:space="preserve"> 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</si>
  <si>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0069145</t>
  </si>
  <si>
    <t>epoetin alfa</t>
  </si>
  <si>
    <t>BINOCRIT</t>
  </si>
  <si>
    <t>rastvor za injekciju u napunjenom injekcionom špricu</t>
  </si>
  <si>
    <t>6 po 1ml (2000ij/1ml)</t>
  </si>
  <si>
    <t>Sandoz GmbH</t>
  </si>
  <si>
    <t>Austrija</t>
  </si>
  <si>
    <t>0069147</t>
  </si>
  <si>
    <t>napunjen injekcioni špric, 6 po 0,4ml (4000i.j./0,4ml)</t>
  </si>
  <si>
    <t>0069165</t>
  </si>
  <si>
    <t xml:space="preserve">epoetin beta </t>
  </si>
  <si>
    <t xml:space="preserve">RECORMON </t>
  </si>
  <si>
    <t>rastvor za injekciju, špric</t>
  </si>
  <si>
    <t>napunjeni injekcioni špric, 6 brizg. po 2000 i.j./0,3 ml</t>
  </si>
  <si>
    <t>Roche Diagnostics GmbH</t>
  </si>
  <si>
    <t>Nemačka</t>
  </si>
  <si>
    <t>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</si>
  <si>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epoetin zeta</t>
  </si>
  <si>
    <t>EQRALYS</t>
  </si>
  <si>
    <t>rastvor za injekciju</t>
  </si>
  <si>
    <t>Hemofarm a.d.</t>
  </si>
  <si>
    <t>Republika Srbija</t>
  </si>
  <si>
    <t>0069227</t>
  </si>
  <si>
    <t>napunjen inj.špric 6 po 0,6 ml (2000 i.j./0,6 ml)</t>
  </si>
  <si>
    <t>0069939</t>
  </si>
  <si>
    <t>B03XA02</t>
  </si>
  <si>
    <t>darbepoetin alfa</t>
  </si>
  <si>
    <t>ARANESP</t>
  </si>
  <si>
    <t>napunjen injekcioni špric, 1 po 0,4 ml (10 mcg/0,4 ml)</t>
  </si>
  <si>
    <t>Amgen Europe B.V.</t>
  </si>
  <si>
    <t>Holandija</t>
  </si>
  <si>
    <t>4,5 mcg</t>
  </si>
  <si>
    <t xml:space="preserve"> 1. Primenjuje se u zdravstvenim ustanovama gde se vrši dijaliza: samo za lečenje anemije u hroničnoj insuficijenciji bubrega sa hemoglobinom nižim od 90 g/l do postizanja i održavanja ciljnih vrednosti hemoglobina 110 g/l.
  - za ovu indikaciju obavezno je pre primene darbepoetina popuniti depoe gvožđa, sanirati infekcije i zapaljenska stanja i obezbediti dobru izdijaliziranost bolesnika.
  2. Primenjuje se u zdravstvenim ustanovama koje obavljaju zdravstvenu delatnost na sekundarnom ili tercijarnom nivou a na osnovu mišljenja lekara nefrologa: za lečenje pacijenata sa anemijom u hroničnoj insuficijenciji bubrega, kod kojih su vrednosti klirensa kreatinina  ≤50 ml/min,  do postizanja i održavanja ciljnih vrednosti hemoglobina 110 g/l.
  - za ovu indikaciju obavezno je   pre primene darbepoetina  korigovati sve razloge za nastanak anemije (nadoknada gvožđa, vitamina, drugih nutritivnih faktora, zaustaviti krvarenje).</t>
  </si>
  <si>
    <t>0069924</t>
  </si>
  <si>
    <t>napunjen injekcioni špric, 1 po 0,5 ml  (20 mcg/0,5 ml)</t>
  </si>
  <si>
    <t>0069928</t>
  </si>
  <si>
    <t>napunjen injekcioni špric 1 po 0,3 ml (30 mcg/0,3 ml)</t>
  </si>
  <si>
    <t>0069934</t>
  </si>
  <si>
    <t>napunjen injekcioni špric 1 po 0,3 ml (60 mcg/0,3 ml)</t>
  </si>
  <si>
    <t>0069206</t>
  </si>
  <si>
    <t>B03XA03</t>
  </si>
  <si>
    <t>metoksipolietilenglikol - epoetin beta</t>
  </si>
  <si>
    <t>MIRCERA</t>
  </si>
  <si>
    <t>1 po 50 mcg/0,3 ml</t>
  </si>
  <si>
    <t>4 mcg</t>
  </si>
  <si>
    <t xml:space="preserve">  1. Primenjuje se u zdravstvenim ustanovama koje obavljaju zdravstvenu delatnost na sekundarnom ili tercijarnom nivou a na osnovu mišljenja lekara nefrologa: za lečenje pacijenata sa anemijom u hroničnoj bubrežnoj insuficijenciji, kod kojih su vrednosti klirensa kreatinina  ≤ 50 ml/min,  do postizanja i održavanja ciljnih vrednosti hemoglobina 110 g/l.
 - za ovu indikaciju obavezno  je  pre primene dugodelujućih preparata eritropoetina korigovati sve  razloge za nastanak anemije (nadoknada gvožđa, vitamina, drugih nutritivnih faktora, zaustaviti krvarenje).</t>
  </si>
  <si>
    <t>0069205</t>
  </si>
  <si>
    <t>1 po 75 mcg/0,3 ml</t>
  </si>
  <si>
    <t>0069213</t>
  </si>
  <si>
    <t>napunjen injekcioni špric, 1 po 30 mcg/0,3 ml</t>
  </si>
  <si>
    <t>0069212</t>
  </si>
  <si>
    <t>napunjen injekcioni špric, 1 po 120 mcg/0,3 ml</t>
  </si>
  <si>
    <t>J05AP54</t>
  </si>
  <si>
    <t>elbasvir, grazoprevir</t>
  </si>
  <si>
    <t>ZEPATIER</t>
  </si>
  <si>
    <t>blister, 28 po (50 mg+100mg)</t>
  </si>
  <si>
    <t>Schering-Plough Labo NV</t>
  </si>
  <si>
    <t>Belgija</t>
  </si>
  <si>
    <t xml:space="preserve">1 tableta </t>
  </si>
  <si>
    <t>Hronični hepatitis C- isključivo genotip 1b (B18.2).</t>
  </si>
  <si>
    <t>Lek se uvodi u terapiju na osnovu mišljenja Komisije RFZO.</t>
  </si>
  <si>
    <t>1328010</t>
  </si>
  <si>
    <t>J05AP57</t>
  </si>
  <si>
    <t>glekaprevir, pibrentasvir</t>
  </si>
  <si>
    <t>MAVIRET</t>
  </si>
  <si>
    <t>blister, 84 po (100 mg + 40 mg)</t>
  </si>
  <si>
    <t>Abbvie Deutschland GmbH &amp; Co.KG; Abbvie Logistics B.V.</t>
  </si>
  <si>
    <t>Nemačka; Holandija</t>
  </si>
  <si>
    <t xml:space="preserve"> 3 tablete</t>
  </si>
  <si>
    <t>Hronični hepatitis C (B18.2).</t>
  </si>
  <si>
    <t>1328001</t>
  </si>
  <si>
    <t>J05AX15</t>
  </si>
  <si>
    <t>sofosbuvir</t>
  </si>
  <si>
    <t>SOVALDI</t>
  </si>
  <si>
    <t>boca plastična, 28 po 400mg</t>
  </si>
  <si>
    <t>Gilead Sciences Ireland UC</t>
  </si>
  <si>
    <t>Irska</t>
  </si>
  <si>
    <t>400 mg</t>
  </si>
  <si>
    <t>Hronični hepatitis C za genotip 2 sa ribavirinom (B18.2):
1.    Pacijenti nakon transplantacije;
2.    Kompenzovana i dekompenzovana ciroza jetre sa ekstrahepatičnim manifestacijama;
3.    Kompenzovana ciroza jetre i bubrežna insuficijencija (isključivo sa klirensom kreatinina preko 50ml/min);
4.    Kompenzovana i dekompenzovana ciroza jetre i limfomi odnosno hemofilije;
5.    Kompenzovana i dekompenzovana ciroza jetre sa HBV/HCV i/ili HIV/HCV koinfekcijom;
6.    Prethodno neuspešno lečena kompenzovana i dekompenzovana ciroza jetre;
Hronični hepatitis C za genotip 3 u kombinaciji sa pegilovanim interferonom i ribavirinom (B18.2):
1.    Pacijenti nakon transplantacije;
2.    Kompenzovana ciroza jetre sa ekstrahepatičnim manifestacijama;
3.    Kompenzovana ciroza jetre i bubrežna insuficijencija (isključivo sa klirensom kreatinina preko 50ml/min);
4.    Kompenzovana ciroza jetre i limfomi odnosno hemofilije;
5.    Kompenzovana ciroza jetre sa HBV/HCV i/ili HIV/HCV koinfekcijom;
6.    Prethodno neuspešno lečena kompenzovana ciroza jetre.</t>
  </si>
  <si>
    <t>J05AX65</t>
  </si>
  <si>
    <t>sofosbuvir, ledipasvir</t>
  </si>
  <si>
    <t>HARVONI</t>
  </si>
  <si>
    <t>boca plastična, 28 po (400mg+90mg)</t>
  </si>
  <si>
    <t>Hronični hepatitis C za genotip 1 i 4(B18.2):
1.    Kompenzovana i dekompenzovana ciroza jetre nakon transplantacije;
2.    Kompenzovana i dekompenzovana ciroza jetre sa ekstrahepatičnim manifestacijama;
3.    Kompenzovana ciroza jetre i bubrežna insuficijencija (isključivo sa klirensom kreatinina preko 30ml/min);
4.    Kompenzovana i dekompenzovana ciroza jetre i limfomi odnosno hemofilije;
5.    Kompenzovana i dekompenzovana ciroza jetre sa HBV i/ili HIV koinfekcijom;
6.    Prethodno neuspešno lečena kompenzovana i dekompenzovana ciroza jetre.</t>
  </si>
  <si>
    <t>1328005</t>
  </si>
  <si>
    <t>J05AX69</t>
  </si>
  <si>
    <t>sofosbuvir, velpatasvir</t>
  </si>
  <si>
    <t>EPCLUSA</t>
  </si>
  <si>
    <t>boca plastična, 28 po (400 mg + 100 mg)</t>
  </si>
  <si>
    <t>1 tableta</t>
  </si>
  <si>
    <t>0034669</t>
  </si>
  <si>
    <t>L01BA04</t>
  </si>
  <si>
    <t>pemetreksed</t>
  </si>
  <si>
    <t>PEMETREXED ZENTIVA ◊</t>
  </si>
  <si>
    <t>prašak za koncentrat za rastvor za infuziju</t>
  </si>
  <si>
    <t xml:space="preserve">bočica staklena, 1 po 500 mg </t>
  </si>
  <si>
    <t>Synthon Hispania, S.L.; Synthon S.R.O</t>
  </si>
  <si>
    <t>Španija; Češka</t>
  </si>
  <si>
    <t xml:space="preserve"> 1. Maligni pleuralni mezoteliom, uznapredovala neresektabilna bolest, PS 0 ili 1.
 2. U kombinaciji sa pembrolizumabiom i hemioterapijom koja sadrži platinu indikovan je za prvu liniju lečenja metastatskog neskvamoznog nesitnoćelijskog karcinoma pluća kod odraslih čiji tumori nisu pozitivni na mutacije gena EGFR ili ALK, čiji tumori eksprimiraju PD-L1 sa TPS 1% - 49% (C34).</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</si>
  <si>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</si>
  <si>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0034700</t>
  </si>
  <si>
    <t>PEMETREKSED PHARMAS ◊</t>
  </si>
  <si>
    <t>bočica staklena, 1 po 500 mg</t>
  </si>
  <si>
    <t>Synthon S.R.O.; Synthon Hispania S.L.</t>
  </si>
  <si>
    <t>Češka; Španija</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</si>
  <si>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</si>
  <si>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1039722</t>
  </si>
  <si>
    <t>L01BC59</t>
  </si>
  <si>
    <t>trifluridin, tipiracil</t>
  </si>
  <si>
    <t>LONSURF ◊</t>
  </si>
  <si>
    <t>blister, 20 po (15mg+6,14mg)</t>
  </si>
  <si>
    <t xml:space="preserve">
Les Laboratoires Servier Industrie;
Servier (Ireland) Industries Limited</t>
  </si>
  <si>
    <t xml:space="preserve"> Francuska;
Irska</t>
  </si>
  <si>
    <t>Za terapiju odraslih pacijenata sa metastatskim kolorektalnim karcinomom (mCRC) koji su prethodno lečeni ili nisu kandidati za lečenje, raspoloživim terapijama koje uključuju hemioterapiju baziranu na fluoropirimidinu, oksaliplatinu i irinotekanu, anti-VEGF i anti-EGFR lekove; pacijenti dobrog opšteg stanja (ECOG PS 0 ili 1) koji imaju indolentnu bolest sa manjim tumorskim opterećenjem dominantno van jetre</t>
  </si>
  <si>
    <t xml:space="preserve">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</si>
  <si>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1039725</t>
  </si>
  <si>
    <t>blister, 20 po (20mg+8,19mg)</t>
  </si>
  <si>
    <t xml:space="preserve">
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</si>
  <si>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0039120</t>
  </si>
  <si>
    <t>L01CD04</t>
  </si>
  <si>
    <t>kabazitaksel</t>
  </si>
  <si>
    <t>JEVTANA ◊</t>
  </si>
  <si>
    <t>koncentrat i rastvarač za rastvor za infuziju</t>
  </si>
  <si>
    <t>bočica sa koncentratom i bočica sa rastvaračem, 1 po 4,5 ml (60 mg/1,5 ml)</t>
  </si>
  <si>
    <t>Sanofi-Aventis Deutschland GMBH</t>
  </si>
  <si>
    <t>Kastraciono-rezistentni metastatski karcinom prostate, terapija posle progresije na hemioterapiju docetakselom, kod pacijenata sa PS 0-2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</si>
  <si>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</si>
  <si>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0039140</t>
  </si>
  <si>
    <t>ELEBER ◊</t>
  </si>
  <si>
    <t>bočica sa koncentratom i bočica sa rastvaračem, 1 po 4.5 mL (60mg/1.5mL)</t>
  </si>
  <si>
    <t>Pharmadox Healthcare Ltd.</t>
  </si>
  <si>
    <t>Malta</t>
  </si>
  <si>
    <t>0033181</t>
  </si>
  <si>
    <t>L01DB06</t>
  </si>
  <si>
    <t>idarubicin</t>
  </si>
  <si>
    <t>ZAVEDOS ◊</t>
  </si>
  <si>
    <t>bočica staklena, 1 po 10 mg</t>
  </si>
  <si>
    <t>Italija</t>
  </si>
  <si>
    <t>Svi oblici akutnih leukemija i limfoblastni limfom.</t>
  </si>
  <si>
    <t>STAC; Lek se uvodi u terapiju na osnovu mišljenja tri lekara sledećih zdravstvenih ustanova:
  - Institut za onkologiju i radiologiju Srbije, 
  - Klinika za hematologiju UKC Srbije, a na osnovu čijeg mišljenja se lek može primenjivati i u KBC Zvezdara,
  - Univerzitetska dečja klinika,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Vojnomedicinska akademija,
  - KBC Zemun.</t>
  </si>
  <si>
    <t>L01EB04</t>
  </si>
  <si>
    <t>osimertinib</t>
  </si>
  <si>
    <t>TAGRISSO ◊</t>
  </si>
  <si>
    <t>blister deljiv na pojedinačne doze, 30 po 80 mg</t>
  </si>
  <si>
    <t>AstraZeneca AB</t>
  </si>
  <si>
    <t>Švedska</t>
  </si>
  <si>
    <t xml:space="preserve">
1. Lečenje odraslih pacijenata sa lokalno uznapredovalim ili metastatskim nemikrocelularnim karcinomom pluća koji je pozitivan na mutaciju receptora epidermalog faktora rasta (EGFR) T790M, posle progresije na terapiju inhibitorima tirozin-kinaze (TKI) (C34).
2. Kao monoterapija u prvoj liniji lečenja odraslih pacijenata sa lokalno uznapredovalim ili metastatskim nemikrocelularnim karcinomom pluća sa aktivirajućim mutacijama receptora epidermalnog faktora rasta (EGFR) (C34).
3. Kao monoterapija u adjuvantnom lečenju nakon kompletne resekcije tumora kod odraslih pacijenata sa nemikrocelularnim karcinomom pluća stadijuma IB-IIIA čiji tumori imaju mutacije receptora epidermalnog faktora rasta (EGFR) delecije eksona 19 ili supstituciju eksona 21 (L858R) (C34).</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</si>
  <si>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</si>
  <si>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1039670</t>
  </si>
  <si>
    <t>blister deljiv na pojedinačne doze, 30 po 40 mg</t>
  </si>
  <si>
    <t>1039152</t>
  </si>
  <si>
    <t>L01EC01</t>
  </si>
  <si>
    <t>vemurafenib</t>
  </si>
  <si>
    <t>ZELBORAF ◊</t>
  </si>
  <si>
    <t>blister, 56 po 240 mg</t>
  </si>
  <si>
    <t xml:space="preserve"> F.Hoffmann-La Roche LTD</t>
  </si>
  <si>
    <t xml:space="preserve"> Švajcarska</t>
  </si>
  <si>
    <t>Sistemsko lečenje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</si>
  <si>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</si>
  <si>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L01EE02</t>
  </si>
  <si>
    <t>kobimetinib</t>
  </si>
  <si>
    <t>COTELLIC ◊</t>
  </si>
  <si>
    <t>blister, 63 po 20 mg</t>
  </si>
  <si>
    <t>U kombinaciji sa Zelborafom, u sistemskom lečenju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</si>
  <si>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</si>
  <si>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L01EF03</t>
  </si>
  <si>
    <t>abemaciklib</t>
  </si>
  <si>
    <t>VERZENIOS ◊</t>
  </si>
  <si>
    <t>LILLY S.A. Španija, Alcobendas, Madrid</t>
  </si>
  <si>
    <t>Španija</t>
  </si>
  <si>
    <t>0.3 g</t>
  </si>
  <si>
    <t xml:space="preserve">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</si>
  <si>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blister, 28 po 100 mg</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</si>
  <si>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</si>
  <si>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blister, 28 po 150 mg</t>
  </si>
  <si>
    <t>L01EL01</t>
  </si>
  <si>
    <t>ibrutinib</t>
  </si>
  <si>
    <t>IMBRUVICA  ◊</t>
  </si>
  <si>
    <t>kapsula, tvrda</t>
  </si>
  <si>
    <t>boca plastična, 90 po 140 mg</t>
  </si>
  <si>
    <t>Janssen Pharmaceutica N.V.</t>
  </si>
  <si>
    <t>420 mg</t>
  </si>
  <si>
    <t>1. Bolesnici sa hroničnom limfocitnom leukemijom (HLL) sa delecijom 17p/TP53 mutacijom, novootkriveni ili prethodno lečeni.
2. Bolesnici sa relapsirajućom/refraktornom HLL koji nisu postigli odgovor na primenjenu terapiju ili je došlo do ranog relapsa (relaps u okviru 36 meseci od započinjanja terapije).
3. Bolesnici sa relapsirajućom/refraktorom HLL koji su primili ≥2 terapijske linije, a imaju dobro opšte funkcionalno stanje (PS-ECOG 0 i 1).
4. Bolesnici sa mantle cell ćelijskim limfomom koji su refraktorni ili su relapsirali posle najmanje jedne prethodno primenjene terapijske linije, a imaju dobro opšte funkcionalno stanje (PS ECOG 0 i 1, CIRS &lt; 6).</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</si>
  <si>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</si>
  <si>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0039410</t>
  </si>
  <si>
    <t>L01FC01</t>
  </si>
  <si>
    <t>daratumumab</t>
  </si>
  <si>
    <t>DARZALEX ◊</t>
  </si>
  <si>
    <t>bočica staklena, 1 po 15mL (120mg/mL)</t>
  </si>
  <si>
    <t>Janssen Biologics B.V.</t>
  </si>
  <si>
    <t xml:space="preserve">Multipli mijelom (C90)
1. kombinacija leka sa lenalidomidom i deksametazonom ili kombinacija sa bortezomibom i deksametazonom kod bolesnika sa multiplim mijelomom koji su refraktarni na prethodno primenjenu terapiju.
2. kod bolesnika u relapsu multiplog mijeloma, a koji imaju umerene i visokorizične karakteristike bolesti (R-ISS 2 ili R-ISS 3 skor) i/ili kod kojih je remisija trajala kraće od 24 meseca. </t>
  </si>
  <si>
    <t>0039334</t>
  </si>
  <si>
    <t>L01FF01</t>
  </si>
  <si>
    <t>nivolumab</t>
  </si>
  <si>
    <t>OPDIVO ◊</t>
  </si>
  <si>
    <t>koncentrat za rastvor za infuziju</t>
  </si>
  <si>
    <t>bočica staklena, 1 po 4 ml (10mg/ml)</t>
  </si>
  <si>
    <t xml:space="preserve">
Swords Laboratories Unlimited Company T/A Bristol-Myers Squibb Cruiserath, Biologics</t>
  </si>
  <si>
    <t xml:space="preserve">1. Lečenje uznapredovalog (neresektabilnog ili metastatskog)  melanoma, kao monoterapija PS 0-1 (C43).
2. Druga terapijska linija metastatskog ili uznapredovalog, svetloćelijskog karcinoma bubrega, dobre ili srednje prognoze, PS 0-1 (C64).
3. Adjuvantno lečenje pacijenata sa melanomom, sa zahvaćenim limfnim čvorovima ili metastazama, koji su prethodno podvrgnuti potpunoj resekciji (stadijum III) (C43). </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</si>
  <si>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3.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</si>
  <si>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0039333</t>
  </si>
  <si>
    <t>bočica staklena, 1 po 10 ml (10mg/ml)</t>
  </si>
  <si>
    <t>0014140</t>
  </si>
  <si>
    <t>L01XC02</t>
  </si>
  <si>
    <t>rituksimab</t>
  </si>
  <si>
    <t>MABTHERA</t>
  </si>
  <si>
    <t>bočica, 2 po 10 ml (100 mg/10 ml)</t>
  </si>
  <si>
    <t>F. Hoffmann-La Roche Ltd.</t>
  </si>
  <si>
    <t>Švajcarska</t>
  </si>
  <si>
    <t xml:space="preserve">   ◊ 1. Nehočkinski limfomi, CD20 pozitivan, podtip: difuzni krupnoćelijski, novodijagnostikovani uz hemioterapiju (C83.3; C83.8).
  ◊  2. Nehočkinski limfomi, CD20 pozitivan, podtip: folikularni, novodijagnostikovani i u recidivu bolesti (C82).
  3. Reumatoidni artritis (M05 i M06) - rituksimab u kombinaciji sa metotreksatom uvodi se u terapiju ukoliko su ispunjena oba kriterijuma i to: 
    a) posle šest meseci primene lekova koji modifikuju tok bolesti (LMTB) nije postignut odgovarajući klinički odgovor tj. poboljšanje  DAS28 skora za najmanje 1,2 ili više ili postoje elementi nepodnošljivosti lekova koji modifikuju tok bolesti (LMTB), i
    b) posle šest meseci od početka primene prethodnog biološkog leka nije postignut adekvatan klinički odgovor tj. poboljšanje (smanjenje DAS28 skora za najmanje 1,2).
         Ukoliko je započeto lečenje rituksimabom, neophodno je terapijske cikluse ponavljati na šest meseci ili nakon dužeg perioda, u zavisnosti od stanja bolesnika i broja limfocita u perifernoj krvi.
  ◊ 4.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</si>
  <si>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0014141</t>
  </si>
  <si>
    <t>bočica, 1 po 50 ml (500 mg/50 ml)</t>
  </si>
  <si>
    <t>0014142</t>
  </si>
  <si>
    <t>bočica staklena, 1 po 11.7mL (1400mg/11.7mL)</t>
  </si>
  <si>
    <t>F. Hoffmann-La Roche Ltd</t>
  </si>
  <si>
    <t>◊ 1. Nehočkinski limfom, CD20 pozitivan, podtip: difuzni krupnoćelijski, novodijagnostikovani uz hemioterapiju (C83.3; C83.8)
 ◊ 2. Nehočkinski limfom, CD20 pozitivan, podtip: folikularni, novodijagnostikovani i u recidivu bolesti (C82).</t>
  </si>
  <si>
    <t>0014145</t>
  </si>
  <si>
    <t>BLITZIMA</t>
  </si>
  <si>
    <t>bočica staklena, 2 po 10 mL (100mg/10mL)</t>
  </si>
  <si>
    <t>Velika Britanija</t>
  </si>
  <si>
    <t xml:space="preserve">   ◊ 1. Nehočkinski limfomi, CD20 pozitivan, podtip: difuzni krupnoćelijski, novodijagnostikovani uz hemioterapiju (C83.3; C83.8).
  ◊  2. Nehočkinski limfomi, CD20 pozitivan, podtip: folikularni, novodijagnostikovani i u recidivu bolesti (C82).
  ◊ 3.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</si>
  <si>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0014144</t>
  </si>
  <si>
    <t>bočica staklena, 1 po 50 mL (500mg/50mL)</t>
  </si>
  <si>
    <t>0014151</t>
  </si>
  <si>
    <t>RIXATHON</t>
  </si>
  <si>
    <t>0014150</t>
  </si>
  <si>
    <t>0014160</t>
  </si>
  <si>
    <t>L01FA01</t>
  </si>
  <si>
    <t>RUXIENCE</t>
  </si>
  <si>
    <t>bočica staklena, 1 po 10mL (100mg/10mL)</t>
  </si>
  <si>
    <t>Pfizer Manufacturing Belgium NV</t>
  </si>
  <si>
    <t>0014161</t>
  </si>
  <si>
    <t>bočica staklena, 1 po 50mL (500mg/50mL)</t>
  </si>
  <si>
    <t>0039345</t>
  </si>
  <si>
    <t>trastuzumab</t>
  </si>
  <si>
    <t>HERCEPTIN ◊</t>
  </si>
  <si>
    <t>prašak i rastvarač za koncentrat za rastvor za infuziju</t>
  </si>
  <si>
    <t>bočica sa praškom i bočica sa rastvaračem, 1 po 20 ml (440 mg/20 ml)</t>
  </si>
  <si>
    <t>0039346</t>
  </si>
  <si>
    <t>bočica staklena, 1 po 5 ml (600mg/5ml)</t>
  </si>
  <si>
    <t>0039370</t>
  </si>
  <si>
    <t>L01FD01</t>
  </si>
  <si>
    <t>HERZUMA ◊</t>
  </si>
  <si>
    <t>bočica staklena, 1 po 150 mg</t>
  </si>
  <si>
    <t>0039375</t>
  </si>
  <si>
    <t>KANJINTI ◊</t>
  </si>
  <si>
    <t>0039376</t>
  </si>
  <si>
    <t>bočica staklena, 1 po 420 mg</t>
  </si>
  <si>
    <t>0039371</t>
  </si>
  <si>
    <t>Karcinom dojke, HER2 prekomerna ekspresija (IHH 3+ ili CISH+): 
    a) adjuvantna hemioterapija - kao nastavak adjuvantne hemioterapije antraciklinima kao monoterapija ili u kombinaciji sa taksanima do ukupno 12 meseci, kod nodus pozitivnih pacijenata i nodus negativnih pacijenata sa tumorom većim od 10 mm (u slučaju postojanja kontraindikacija za antracikline, trastuzumab kombinovati sa neantraciklinskim režimima);
    b) metastatska bolest- PS 0 ili 1 u kombinaciji sa taksanima, 6 do 8 ciklusa, a potom u odsustvu progresije bolesti, nastaviti samo trastuzumab do progresije bolesti; 
    c) lokalno uznapredovali karcinom dojke, inflamatorni ili karcinom dojke u ranom stadijumu sa visokim rizikom od recidiva: primena trastuzumaba u kombinaciji sa taksanskom hemioterapijom tokom 4 ciklusa a nakon prethodne sekvencijalne primene antraciklina. Kod ove grupe nastavak primene trastuzumaba u adjuvantnom tretmanu, nakon operacije, do ukupno godinu dana, računajući i primenu trastuzumaba u neoadjuvantnom pristupu.</t>
  </si>
  <si>
    <t>0039391</t>
  </si>
  <si>
    <t>TRAZIMERA ◊</t>
  </si>
  <si>
    <t>0039392</t>
  </si>
  <si>
    <t>0039153</t>
  </si>
  <si>
    <t>L01XC06</t>
  </si>
  <si>
    <t>cetuksimab</t>
  </si>
  <si>
    <t>ERBITUX ◊</t>
  </si>
  <si>
    <t>rastvor za infuziju</t>
  </si>
  <si>
    <t>bočica staklena,1 po 20 ml (5 mg/ml)</t>
  </si>
  <si>
    <t>Merck KGaA</t>
  </si>
  <si>
    <t>1. Karcinom kolorektuma: 
    a) metastatska bolest, posle hemioterapije na bazi oksaliplatine i irinotekana, isključivo za pacijente sa tumorima koji sadrže nemutirani K/Ras gen, PS 0 ili 1, kao monoterapija ili u kombinaciji sa irinotekanom;
   b) terapija pacijenata sa RAS wild-type metastatskim  kolorektalnim karcinomom koji eksprimiraju receptore za epidermalni faktor rasta (EGFR) kao prva linija terapije u kombinaciji sa FOLFOX-om ili sa hemioterapijom na bazi irinotekana;
2. Planocelularni karcinom glave i vrata:
    a) istovremeno sa radioterapijom kod pacijenata sa PS 0 ili 1 u lokalno uznapredovalom, inoperabilnom planocelularnom karcinomu usne duplje i orofarinksa, kod kojih je lečenje započeto indukcionom hemioterapijom;
    b) lokalno uznapredovala, inoperabilna bolest, u kombinaciji sa radioterapijom, PS 0 ili 1, u pacijenata kod kojih je kontraindikovana primena lekova na bazi platine;
    c) u kombinaciji sa standardnom hemioterapijom (5FU-cisplatin ili 5FU-karboplatin) prva linija za rekurentni planocelularni karcinom glave i vrata koji nije podoban za lokoregionalni tretman, bez egzulceracije, PS 0-1.</t>
  </si>
  <si>
    <t>STAC; Za indikaciju pod tačkom 1.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Za  indikaciju pod tačkom 2. lek se uvodi u terapiju na osnovu mišljenja tri lekara sledećih zdravstvenih ustanova:
  - Institut za onkologiju i radiologiju Srbije, 
  - Institut za onkologiju Vojvodine, 
  - Klinika za onkologiju UKC Niš, 
  - UKC Kragujevac,
  - Vojnomedicinska akademija.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</si>
  <si>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0039401</t>
  </si>
  <si>
    <t>L01XC07</t>
  </si>
  <si>
    <t>bevacizumab</t>
  </si>
  <si>
    <t>AVASTIN ◊</t>
  </si>
  <si>
    <t>bočica staklena, 1 po 4 ml (100 mg/4 ml)</t>
  </si>
  <si>
    <t>F. Hoffmann-La Roche Ltd.;
Roche Diagnostics GmbH</t>
  </si>
  <si>
    <t>Švajcarska;
Nemačka</t>
  </si>
  <si>
    <t>1.Lečenje pacijenata sa metastatskim kolorektalnim karcinomom (mCRC), PS 0 ili 1, u prvoj liniji lečenja, uz hemioterapiju koja sadrži fluoropirimidine.
2. Avastin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
3. Terapija odraslih pacijenata  sa uznapredovalim ili neresektabilnim hepatocelularnim karcinomom (hepatocellular carcinoma, HCC) koji prethodno nisu primali sistemsku terapiju, u kombinaciji sa lekom atezolizumab (C22.0).
4. Prva linija lečenja metastatskog neskvamoznog nesitnoćelijskog karcinoma pluća, u kombinaciji sa atezolizumabom, paklitakselom i karboplatinom, kod odraslih čiji tumori nisu pozitivni na mutacije gena EGFR ili ALK. I sa vrednostima PD-L1 ekspresije od 1-49%.(PS 0 ili 1) (C34).</t>
  </si>
  <si>
    <t>STAC; Za indikaciju pod tačkom 1.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</si>
  <si>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0039400</t>
  </si>
  <si>
    <t>bočica staklena, 1 po 16 ml (400 mg/16 ml)</t>
  </si>
  <si>
    <t>0039431</t>
  </si>
  <si>
    <t>L01FG01</t>
  </si>
  <si>
    <t>OYAVAS ◊</t>
  </si>
  <si>
    <t>bočica staklena, 1 po 4 ml (25mg/ml)</t>
  </si>
  <si>
    <t>GH Genhelix S.A.</t>
  </si>
  <si>
    <t>0039430</t>
  </si>
  <si>
    <t>bočica staklena, 1 po 16 ml (25mg/ml)</t>
  </si>
  <si>
    <t>0039432</t>
  </si>
  <si>
    <t>ALYMSYS ◊</t>
  </si>
  <si>
    <t>bočica staklena, 1 po 4 mL (100mg/4mL)</t>
  </si>
  <si>
    <t>0039433</t>
  </si>
  <si>
    <t>bočica staklena, 1 po 16 mL (400mg/16mL)</t>
  </si>
  <si>
    <t>0039440</t>
  </si>
  <si>
    <t>ZIRABEV ◊</t>
  </si>
  <si>
    <t>bočica staklena, 1 po 4mL (100mg/4mL)</t>
  </si>
  <si>
    <t>Pfizer Ireland Pharmaceuticals; 
Pfizer Service Company BV</t>
  </si>
  <si>
    <t>Irska;
Belgija</t>
  </si>
  <si>
    <t>0039441</t>
  </si>
  <si>
    <t>bočica staklena, 1 po 16mL (400mg/16mL)</t>
  </si>
  <si>
    <t>0039505</t>
  </si>
  <si>
    <t>panitumumab</t>
  </si>
  <si>
    <t>VECTIBIX ◊</t>
  </si>
  <si>
    <t>bočica staklena, 1 po 5ml (20mg/ml)</t>
  </si>
  <si>
    <t xml:space="preserve">Karcinom kolorektuma:
a) metastatska bolest, posle hemioterapije na bazi oksaliplatine i irinotekana, isključivo za pacijente sa tumorima koji sadrže nemutirani K/Ras gen, PS 0 ili 1, kao monoterapija.
b) lečenje odraslih pacijenata sa metastatskim kolorektalnim karcinomom (mCRC) sa divljim tipom RAS gena, kao prva linija terapije u kombinaciji sa FOLFOX ili FOLFIRI hemioterapijskim režimom. </t>
  </si>
  <si>
    <t>STAC;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</si>
  <si>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0014000</t>
  </si>
  <si>
    <t>brentuksimab vedotin</t>
  </si>
  <si>
    <t>ADCETRIS ◊</t>
  </si>
  <si>
    <t>bočica staklena, 1 po 50mg</t>
  </si>
  <si>
    <t>Takeda Italia S.P.A</t>
  </si>
  <si>
    <t>1. Lečenje odraslih bolesnika sa relapsom ili refraktarnim CD30 pozitivnim Hodgkin limfomom (C81.0-C81.4): 
a) nakon autologe transplantacije matičnih ćelija hematopoeze ili 
b) nakon najmanje dva prethodna ciklusa lečenja kod bolesnika kod kojih je autologa transplantacija kontraindikovana
2. Lečenje odraslih bolesnika (PS 0-2) sa CD30-pozitivnim Hodginovim lifomom kao konsolidaciona terapija nakon autologe transplantacije matičnih ćelija hematopoeze kod bolesnika sa visokim rizikom za relaps ili progresiju bolesti (C81.1; C81.2;C81.3)
3.Lečenje odraslih bolesnika sa relapsom ili refrakternim sistemskim anaplastičnim limfomom velikih ćelija (sALCL) (C 84.4)</t>
  </si>
  <si>
    <t>Lek se uvodi u terapiju na osnovu mišljenja Komisije RFZO, a na osnovu mišljenja tri lekara sledećih zdravstvenih ustanova:
 -  Institut za onkologiju i radiologiju Srbije,
 -  Klinika za hematologiju UKC Srbije,a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</si>
  <si>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0039507</t>
  </si>
  <si>
    <t>L01XC13</t>
  </si>
  <si>
    <t>pertuzumab</t>
  </si>
  <si>
    <t>PERJETA ◊</t>
  </si>
  <si>
    <t>bočica staklena, 1 po 14ml (420mg/14ml)</t>
  </si>
  <si>
    <t>F.Hoffmann-La Roche LTD</t>
  </si>
  <si>
    <t>Karcinom dojke:
a) neoadjuvantno lečenje tokom 4 ciklusa u kombinaciji sa trastuzumabom i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b) metastatski HER2- pozitivni rak dojke- PS 0 ili 1, prva terapijska linija za metastatsku bolest, u kombinaciji sa trastuzumabom i docetakselom (6-8 ciklusa), a potom u odsustvu progresije bolesti, nastaviti sa pertuzumabom u kombinaciji sa  trastuzumabom do progresije bolesti
c) Rani stadijum HER2 pozitivnog karcinoma dojke sa visokim rizikom od relapsa definisanim kao karcinom dojke sa pozitivnim limfnim čvorovima, u kombinaciji sa trastuzumabom i hemioterapijom , bez obzira na vrstu inicijalnog lečenja ( inicijalno hiruško lečenje ili neoadjuvantna terapija praćena hiruškim lečenjem), u trajanju do ukupno godinu dana od prve aplikacije anti-HER2 terapije.</t>
  </si>
  <si>
    <t>0039347</t>
  </si>
  <si>
    <t>L01XC14</t>
  </si>
  <si>
    <t>trastuzumab emtanzin</t>
  </si>
  <si>
    <t>KADCYLA ◊</t>
  </si>
  <si>
    <t>bočica staklena, 1 po 100 mg</t>
  </si>
  <si>
    <t>F.Hoffman-LA Roche LTD</t>
  </si>
  <si>
    <t>1. Karcinom dojke, kao monoterapija za lečenje odraslih pacijenata HER2 pozitivnim, neresektabilnim, lokalno uznapredovalim ili metastatskim karcinomom dojke sa PS 0-1, koji su prethodno obavezno  primali trastuzumab i taksan odvojeno ili u kombinaciji, a moguće i pertuzumab i/ili lapatinib (C50)
Pacijenti bi trebalo da su: 
- primali prethodnu terapiju za lokalno uznapredovalu ili metastatsku bolest, ili 
- dobili relaps bolesti tokom ili u roku od šest meseci od završetka ajduvantne terapije trastuzumabom.
2. Adjuvantno lečenje odraslih pacijenata sa HER2 pozitivnim ranim karcinomom dojke koji imaju rezidualnu invanzivnu bolest, koja zahvata dojku i/ili limfne čvorove, nakon neoadjuvantne terapije zasnovane na taksanu i ciljane HER2 terapije (C50)</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</si>
  <si>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</si>
  <si>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0039348</t>
  </si>
  <si>
    <t>bočica staklena, 1 po 160 mg</t>
  </si>
  <si>
    <t>0039004</t>
  </si>
  <si>
    <t>L01XC15</t>
  </si>
  <si>
    <t>obinutuzumab</t>
  </si>
  <si>
    <t>GAZYVA ◊</t>
  </si>
  <si>
    <t xml:space="preserve"> bočica staklena, 1 po 40 ml (1000mg/40ml)</t>
  </si>
  <si>
    <t>1. Lek obinutuzumab se primenjuje u kombinaciji sa hlorambucilom u prvoj terapijskoj liniji kod bolesnika sa hroničnom limfocitnom leukemijom kod kojih je komorbiditetni indeks CIRS≥6.
2. Lek obinutuzumab u kombinaciji sa hemioterapijom, nakon čega sledi terapija održavanja lekom obinutuzumab kod pacijenata kod kojih je postignut odgovor, indikovan je u terapiji pacijenata sa prethodno nelečenim uznapredovalim folikularnim limfomom (C82).</t>
  </si>
  <si>
    <t>STAC; 
Za indikaciju pod tačkom 1. 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
Za indikaciju pod tačkom 2.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</si>
  <si>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0039403</t>
  </si>
  <si>
    <t>L01FF02</t>
  </si>
  <si>
    <t>pembrolizumab</t>
  </si>
  <si>
    <t>KEYTRUDA ◊</t>
  </si>
  <si>
    <t xml:space="preserve">koncentrat za rastvor za infuziju </t>
  </si>
  <si>
    <t>Organon Heist B.V.</t>
  </si>
  <si>
    <t xml:space="preserve">1.Lečenje uznapredovalog (neresektabilnog ili metastatskog)  melanoma, kao monoterapija PS 0-1  (C43). 
2.Kao monoterapija za prvu liniju terapije metastatskog nesitnoćelijskog karcinoma pluća kod odraslih pacijenata čiji tumori eksprimiraju PD-L1 sa TPS≥ 50% i koji nisu pozitivni na tumorske mutacije gena EGFR ili ALK, a imaju ECOG status 0-1  (C34).
3. Prva linija lečenja metastatskog neskvamoznog nesitnoćelijskog karcinoma pluća, u kombinaciji sa pemetreksedom i hemioterapijom koja sadrži platinu, kod odraslih čiji tumori nisu pozitivni na mutacije gena EGFR ili ALK i sa vrednostima PD-L1 ekspresije od 1-49% (PS 0 ili 1) (C34).
4. Adjuvantno lečenje pacijenata sa melanomom, sa zahvaćenim limfnim čvorovima ili metastazama, koji su prethodno podvrgnuti potpunoj resekciji (stadijum III) (C43).
5. Za lečenje odraslih pacijenata sa lokalno uznapredovalim ili ranim trostruko negativnim karcinomom dojke s visokim rizikom od recidiva u kombinaciji sa hemioterapijom za neoadjuvantno lečenje, a zatim u nastavku kao monoterapija u adjuvantnom lečenju nakon hirurškog zahvata (C50).
6.Za lečenje lokalno rekurentnog neresektabilnog ili metastatskog trostruko negativnog karcinoma dojke kod odraslih čiji tumori eksprimiraju PD L1 sa CPSom ≥10 i koji prethodno nisu primili hemioterapiju za metastatsku bolest je u kombinaciji sa hemioterapijom (C50). </t>
  </si>
  <si>
    <t>Za indikaciju pod tačkom 1, 2. i 3.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1.i 4.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5. i 6.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</si>
  <si>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0039406</t>
  </si>
  <si>
    <t>L01FF05</t>
  </si>
  <si>
    <t>atezolizumab</t>
  </si>
  <si>
    <t>TECENTRIQ ◊</t>
  </si>
  <si>
    <t xml:space="preserve"> koncentrat za rastvor za infuziju</t>
  </si>
  <si>
    <t>bočica staklena 1 po 20 ml (1200mg/20ml)</t>
  </si>
  <si>
    <t>1.Kao monoterapija za prvu liniju terapije metastatskog nesitnoćelijskog karcinoma pluća kod odraslih pacijenata čiji tumori eksprimiraju PD-L1 sa TPS≥ 50% i koji nisu pozitivni na tumorske mutacije gena EGFR ili ALK, a imaju ECOG status 0-1 (C34). 
2.Prva linija lečenja metastatskog neskvamoznog nesitnoćelijskog karcinoma pluća, u kombinaciji sa bevacizumabom, paklitakselom i karboplatinom, kod odraslih čiji tumori nisu pozitivni na mutacije gena EGFR ili ALK  i sa vrednostima PD-L1 ekspresije od 1-49% (PS 0 ili 1) (C34).
3.Kao monoterapija za lečenje lokalno uznapredovalog ili metastatskog nesitnoćelijskog karcinoma pluća kod odraslih pacijenata koji su prethodno primili hemioterapije. Potrebno je da su pacijenti sa EGFR aktivirajućim mutacijama ili ALK pozitivnim tumorskim mutacijama takođe primali ciljanu terapiju pre nego što prime lek Tecentriq (C34).
4.Terapija odraslih pacijenata  sa uznapredovalim ili neresektabilnim hepatocelularnim karcinomom (hepatocellular carcinoma, HCC) koji prethodno nisu primali sistemsku terapiju, u kombinaciji sa lekom bevacizumab (C22.0).</t>
  </si>
  <si>
    <t>Za indikaciju pod tačkom 1, 2. i 3. 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4. odobrava se primena terapije za 2 meseca, nakon čega se sprovodi provera efikasnosti terapije.
Za indikaciju pod tačkom 4.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</si>
  <si>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L01XE02</t>
  </si>
  <si>
    <t>gefitinib</t>
  </si>
  <si>
    <t>IRESSA ◊</t>
  </si>
  <si>
    <t>30 po 250 mg</t>
  </si>
  <si>
    <t>AstraZeneca UK Limited</t>
  </si>
  <si>
    <t>0.25 g</t>
  </si>
  <si>
    <t>Nesitnoćelijski karcinom pluća u stadijumu IIIb i IV u prvoj liniji lečenja kod pacijenata sa pozitivnim testom na mutaciju tirozin kinaze receptora za epidermalni faktor rasta (EGFR-TK), PS 0 ili 1.</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</si>
  <si>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</si>
  <si>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1039500</t>
  </si>
  <si>
    <t>GEFITINIB ZENTIVA ◊</t>
  </si>
  <si>
    <t>blister, 30 po 250 mg</t>
  </si>
  <si>
    <t>Pharmadox Healthcare LTD; S.C. Labormed-Pharma S.A.</t>
  </si>
  <si>
    <t>Malta; Rumunija</t>
  </si>
  <si>
    <t>1039510</t>
  </si>
  <si>
    <t>GEFITINIB TEVA ◊</t>
  </si>
  <si>
    <t>1039555</t>
  </si>
  <si>
    <t>GEFITINIB CORAPHARM ◊</t>
  </si>
  <si>
    <t>Synthon Hispania, S.L.</t>
  </si>
  <si>
    <t>1039560</t>
  </si>
  <si>
    <t>SPIRTOS ◊</t>
  </si>
  <si>
    <t>Stada Arzneimittel AG;
Stadapharm GmbH</t>
  </si>
  <si>
    <t>Nemačka;
Nemačka</t>
  </si>
  <si>
    <t>1039503</t>
  </si>
  <si>
    <t>L01EB01</t>
  </si>
  <si>
    <t>PHROMPO ◊</t>
  </si>
  <si>
    <t>blister deljiv na pojedinačne doze, 30 po 250 mg</t>
  </si>
  <si>
    <t>Alkaloid AD Skopje</t>
  </si>
  <si>
    <t>Republika Severna Makedonija</t>
  </si>
  <si>
    <t>1039540</t>
  </si>
  <si>
    <t>GEFITINIB EVROPA LEK PHARMA ◊</t>
  </si>
  <si>
    <t>Remedica LTD</t>
  </si>
  <si>
    <t>Kipar</t>
  </si>
  <si>
    <t>L01XE03</t>
  </si>
  <si>
    <t>erlotinib</t>
  </si>
  <si>
    <t>blister, 30 po 25 mg</t>
  </si>
  <si>
    <t>0,15 g</t>
  </si>
  <si>
    <t xml:space="preserve"> 1. Adenokarcinom pluća u stadijumu IIIb i IV u drugoj liniji sistemskog lečenja kod bolesnika sa PS 0 ili 1, kod kojih je u prethodnom lečenju registrovana značajna toksičnost.
 2. Nesitnoćelijski karcinom pluća u stadijumu IIIb i IV u prvoj liniji lečenja kod pacijenata sa pozitivnim testom na mutaciju tirozin kinaze receptora za epidermalni faktor rasta (EGFR-TK), PS 0 ili 1.</t>
  </si>
  <si>
    <t>blister, 30 po 100 mg</t>
  </si>
  <si>
    <t>blister, 30 po 150 mg</t>
  </si>
  <si>
    <t>1039409</t>
  </si>
  <si>
    <t>INOPRAN ◊</t>
  </si>
  <si>
    <t>Remedica Ltd</t>
  </si>
  <si>
    <t>1039410</t>
  </si>
  <si>
    <t>1039411</t>
  </si>
  <si>
    <t>1039408</t>
  </si>
  <si>
    <t>ERLOTINIB ACTAVIS ◊</t>
  </si>
  <si>
    <t>S.C. Sindan-Pharma S.R.L.</t>
  </si>
  <si>
    <t>Rumunija</t>
  </si>
  <si>
    <t>1039407</t>
  </si>
  <si>
    <t>1039406</t>
  </si>
  <si>
    <t>1039412</t>
  </si>
  <si>
    <t>ERLOTINIB REMEDICA ◊</t>
  </si>
  <si>
    <t>1039415</t>
  </si>
  <si>
    <t>1039416</t>
  </si>
  <si>
    <t>1039417</t>
  </si>
  <si>
    <t>ERLOTINIB SANDOZ ◊</t>
  </si>
  <si>
    <t>Lek Farmacevtska Družba d.d.</t>
  </si>
  <si>
    <t>Slovenija</t>
  </si>
  <si>
    <t>1039418</t>
  </si>
  <si>
    <t>1039426</t>
  </si>
  <si>
    <t>L01EB02</t>
  </si>
  <si>
    <t>FOKLEROS ◊</t>
  </si>
  <si>
    <t>0.15 g</t>
  </si>
  <si>
    <t>1039425</t>
  </si>
  <si>
    <t>1039431</t>
  </si>
  <si>
    <t>ERLOTINIB CORAPHARM ◊</t>
  </si>
  <si>
    <t>Synthon BV;
Synthon Hispania SL</t>
  </si>
  <si>
    <t>Holandija;
Španija</t>
  </si>
  <si>
    <t>1039432</t>
  </si>
  <si>
    <t>150 mg</t>
  </si>
  <si>
    <t>1039703</t>
  </si>
  <si>
    <t>L01XE04</t>
  </si>
  <si>
    <t>sunitinib</t>
  </si>
  <si>
    <t>SUTENT ◊</t>
  </si>
  <si>
    <t>blister deljiv na pojedinačne doze, 28 po 12,5 mg</t>
  </si>
  <si>
    <t>Pfizer Italia S.R.L.</t>
  </si>
  <si>
    <t>33 mg</t>
  </si>
  <si>
    <t>Lokalno odmakli i/ili metastatski karcinom bubrežnih ćelija (svetloćelijski podtip), kod bolesnika dobre ili intermedijarne prognoze sa PS 0 ili 1, u prvoj liniji sistemskog lečenja.</t>
  </si>
  <si>
    <t>Lek se uvodi u terapiju na osnovu mišljenja Komisije RFZO, a na osnovu mišljenja tri lekara sledećih zdravstvenih ustanova:
  - Institut za onkologiju i radiologiju Srbije, 
  - Klinika za urologiju UKCS, 
  - KBC Bežanijska Kosa,
  - Institut za onkologiju Vojvodine, 
  - Klinika za onkologiju UKC Niš,
  - UKC Kragujevac,
  - Vojnomedicinska akademija,
  - KBC Zemun.</t>
  </si>
  <si>
    <t>1039704</t>
  </si>
  <si>
    <t>blister deljiv na pojedinačne doze, 28 po 25 mg</t>
  </si>
  <si>
    <t>1039706</t>
  </si>
  <si>
    <t>blister deljiv na pojedinačne doze, 28 po 50 mg</t>
  </si>
  <si>
    <t>SUNITINIB SANDOZ ◊</t>
  </si>
  <si>
    <t>blister, 28 po 12,5 mg</t>
  </si>
  <si>
    <t>Lek Farmacevtska      Družba d.d.</t>
  </si>
  <si>
    <t>SUNITINIB  SANDOZ ◊</t>
  </si>
  <si>
    <t>Lek Farmacevtska     Družba d.d.</t>
  </si>
  <si>
    <t>Lek Farmacevtska            Družba d.d.</t>
  </si>
  <si>
    <t>1039746</t>
  </si>
  <si>
    <t>L01EX01</t>
  </si>
  <si>
    <t>NERSAN ◊</t>
  </si>
  <si>
    <t>blister, 28 po 37,5 mg</t>
  </si>
  <si>
    <t>Remedica LTD; Pharmacare Premium LTD; Stadapharm GmbH</t>
  </si>
  <si>
    <t>Kipar;
Malta;
Nemačka</t>
  </si>
  <si>
    <t>1039744</t>
  </si>
  <si>
    <t>MISVENOL ◊</t>
  </si>
  <si>
    <t>Pharmacare Premium Ltd; Genepharm SA</t>
  </si>
  <si>
    <t>Malta; Grčka</t>
  </si>
  <si>
    <t>1039751</t>
  </si>
  <si>
    <t>SUNITINIB CORAPHARM ◊</t>
  </si>
  <si>
    <t>Synthon Hispania, SL; Synthon S.R.O.; Synthon BV</t>
  </si>
  <si>
    <t>Španija; Češka; Holandija</t>
  </si>
  <si>
    <t>1039752</t>
  </si>
  <si>
    <t>1039753</t>
  </si>
  <si>
    <t>blister deljiv na pojedinačne doze, 28 po 37,5 mg</t>
  </si>
  <si>
    <t>1039754</t>
  </si>
  <si>
    <t>blister, 28 po 12.5 mg</t>
  </si>
  <si>
    <t>Malta;
Grčka</t>
  </si>
  <si>
    <t>1039767</t>
  </si>
  <si>
    <t>SUNITINIB AQVIDA ◊</t>
  </si>
  <si>
    <t>Aqvida GmbH;
Combino Pharm (Malta) LTD</t>
  </si>
  <si>
    <t>Nemačka;
Malta</t>
  </si>
  <si>
    <t>1039768</t>
  </si>
  <si>
    <t>1039769</t>
  </si>
  <si>
    <t>1039780</t>
  </si>
  <si>
    <t>FASINDOR ◊</t>
  </si>
  <si>
    <t>blister deljiv na pojedinačne doze, 28 po 12.5 mg</t>
  </si>
  <si>
    <t>1039782</t>
  </si>
  <si>
    <t>1039781</t>
  </si>
  <si>
    <t>1039021</t>
  </si>
  <si>
    <t>SUNITINIB EVROPA LEK PHARMA ◊</t>
  </si>
  <si>
    <t>Bluepharma Industria Farmaceutica S.A.</t>
  </si>
  <si>
    <t>Portugalija</t>
  </si>
  <si>
    <t>1039022</t>
  </si>
  <si>
    <t>1039023</t>
  </si>
  <si>
    <t>1039024</t>
  </si>
  <si>
    <t>1039025</t>
  </si>
  <si>
    <t>1039026</t>
  </si>
  <si>
    <t>1039151</t>
  </si>
  <si>
    <t>L01XE05</t>
  </si>
  <si>
    <t>sorafenib</t>
  </si>
  <si>
    <t>NEXAVAR ◊</t>
  </si>
  <si>
    <t>blister, 112 po 200 mg</t>
  </si>
  <si>
    <t>Bayer AG; Bayer Healthcare Manufacturing S.R.L.; Bayer Farmacevtska Družba d.o.o.</t>
  </si>
  <si>
    <t xml:space="preserve"> Nemačka; Italija; Slovenija</t>
  </si>
  <si>
    <t>0.8 g</t>
  </si>
  <si>
    <t>1. 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
2. Lečenje pacijenata sa progresivnim, lokalno uznapredovalim ili metastaziranim, diferenciranim (papilarne/folikularne Hurthe-ijeve ćelije) karcinomom tireoidne žlezde koji ne reaguju na terapiju radioaktivnim jodom.</t>
  </si>
  <si>
    <t>Za indikaciju pod tačkom 1. odobrava se primena terapije za 2 meseca, nakon čega se sprovodi provera efikasnosti terapije.
Za indikaciju pod tačkom 1.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tri lekara zdravstvene ustanove koja obavlja zdravstvenu delatnost na teracijarnom nivou zdravstvene zaštite.</t>
  </si>
  <si>
    <t xml:space="preserve">SORAFENIB TEVA ◊ </t>
  </si>
  <si>
    <t>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t>
  </si>
  <si>
    <t>Odobrava se primena terapije za 2 meseca, nakon čega se sprovodi provera efikasnosti terapije.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</si>
  <si>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1039141</t>
  </si>
  <si>
    <t>L01EX02</t>
  </si>
  <si>
    <t xml:space="preserve">SALTAPSA ◊ </t>
  </si>
  <si>
    <t>Pharmacare Premium Ltd.;
Genepharm SA</t>
  </si>
  <si>
    <t>SORAFENIB S.K. ◊</t>
  </si>
  <si>
    <t>Pharmacare Premium LTD.;
Genepharm SA</t>
  </si>
  <si>
    <t>1039147</t>
  </si>
  <si>
    <t>SORAFENIB ZENTIVA ◊</t>
  </si>
  <si>
    <t>Pharos MT Limited; Remedica LTD</t>
  </si>
  <si>
    <t>Malta; Kipar</t>
  </si>
  <si>
    <t>0,8 g</t>
  </si>
  <si>
    <t>1039143</t>
  </si>
  <si>
    <t>MAYSORB ◊</t>
  </si>
  <si>
    <t>Remedica LTD;
Stada Arzneimittel AG</t>
  </si>
  <si>
    <t>Kipar;
Nemačka</t>
  </si>
  <si>
    <t>1039144</t>
  </si>
  <si>
    <t>Stada Arzneimittel AG</t>
  </si>
  <si>
    <t>1039715</t>
  </si>
  <si>
    <t>L01XE07</t>
  </si>
  <si>
    <t>lapatinib</t>
  </si>
  <si>
    <t>TYVERB ◊</t>
  </si>
  <si>
    <t>boca, 70 po 250 mg</t>
  </si>
  <si>
    <t>Glaxo Wellcome Operations; Glaxo Wellcome S.A.</t>
  </si>
  <si>
    <t>Velika Britanija; Španija</t>
  </si>
  <si>
    <t xml:space="preserve">
Karcinom dojke - druga ili treća linija metastatskog HER2 pozitivnog karcinoma dojke, u kombinaciji sa lekom kapecitabin, kod pacijenata sa progresijom osnovne bolesti i PS 0-1, prethodno lečenih  taksanima u kombinaciji sa anti HER2 terapijom, trastuzumab ± pertuzumab (u tom slučaju lapatinib je druga linija), kao i lekom trastuzumab emtanzin (u tom slučaju lapatinib je treća linija). </t>
  </si>
  <si>
    <t>Lek se uvodi u terapiju na osnovu mišljenja tri lekara sledećih zdravstvenih ustanova:
- Institut za onkologiju i radiologiju Srbije,
- KBC Bežanijska Kosa,
- Klinika za onkologiju UKC Niš,
- Institut za onkologiju Vojvodine,
- UKC Kragujevac,
- Vojnomedicinska akademija uz učešće stručnjaka iz oblasti karcinoma dojke sa Instituta za onkologiju i radiologiju Srbije ili KBC Bežanijska Kosa,
 - KBC Zemun.</t>
  </si>
  <si>
    <t>1039710</t>
  </si>
  <si>
    <t>L01XE08</t>
  </si>
  <si>
    <t>nilotinib</t>
  </si>
  <si>
    <t>TASIGNA ◊</t>
  </si>
  <si>
    <t>Novartis Pharma Stein AG</t>
  </si>
  <si>
    <t>Druga terapijska linija kod  bolesnika sa hroničnom  mijeloidnom leukemijom, otpornih ili netolerantnih na bar jednu prethodnu terapiju, uključujući imatinib mesilat.</t>
  </si>
  <si>
    <t>1039252</t>
  </si>
  <si>
    <t>pazopanib</t>
  </si>
  <si>
    <t>VOTRIENT ◊</t>
  </si>
  <si>
    <t>1039253</t>
  </si>
  <si>
    <t>1039267</t>
  </si>
  <si>
    <t>L01EX03</t>
  </si>
  <si>
    <t>PARIZOL ◊</t>
  </si>
  <si>
    <t>boca plastična, 30 po 200 mg</t>
  </si>
  <si>
    <t>Pharmacare Premium LTD;
Galenika AD Beograd</t>
  </si>
  <si>
    <t>Malta;
Republika Srbija</t>
  </si>
  <si>
    <t>boca plastična, 60 po 400 mg</t>
  </si>
  <si>
    <t>1039264</t>
  </si>
  <si>
    <t>PAZOPANIB HF ◊</t>
  </si>
  <si>
    <t>blister, 30 po 200 mg</t>
  </si>
  <si>
    <t>1039266</t>
  </si>
  <si>
    <t>blister, 60 po 400 mg</t>
  </si>
  <si>
    <t>1039263</t>
  </si>
  <si>
    <t>PAZOPANIB EVROPA LEK PHARMA ◊</t>
  </si>
  <si>
    <t>Pharos MT LTD.; Remedica LTD</t>
  </si>
  <si>
    <t>Malta;
Kipar</t>
  </si>
  <si>
    <t>1039261</t>
  </si>
  <si>
    <t>boca, 30 po 200 mg</t>
  </si>
  <si>
    <t>1039262</t>
  </si>
  <si>
    <t>1039260</t>
  </si>
  <si>
    <t>boca, 30 po 400 mg</t>
  </si>
  <si>
    <t>boca, 60 po 400 mg</t>
  </si>
  <si>
    <t>1039276</t>
  </si>
  <si>
    <t>L01XE13</t>
  </si>
  <si>
    <t>afatinib</t>
  </si>
  <si>
    <t>GIOTRIF ◊</t>
  </si>
  <si>
    <t>blister, 28 po 20mg</t>
  </si>
  <si>
    <t>Boehringer Ingelheim Pharma GmBh&amp;Co.KG</t>
  </si>
  <si>
    <t>1039277</t>
  </si>
  <si>
    <t>blister, 28 po 30mg</t>
  </si>
  <si>
    <t>blister, 28 po 40mg</t>
  </si>
  <si>
    <t>aksitinib</t>
  </si>
  <si>
    <t>INLYTA ◊</t>
  </si>
  <si>
    <t>blister, 56 po 1 mg</t>
  </si>
  <si>
    <t>Druga terapijska linija metastatskog ili uznapredovalog, svetloćelijskog karcinoma bubrega, dobre ili srednje prognoze, PS 0-1 (C64).</t>
  </si>
  <si>
    <t>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</si>
  <si>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blister, 56 po 5 mg</t>
  </si>
  <si>
    <t>1039249</t>
  </si>
  <si>
    <t>L01XE18</t>
  </si>
  <si>
    <t>ruksolitinib</t>
  </si>
  <si>
    <t>JAKAVI ◊</t>
  </si>
  <si>
    <t>tableta</t>
  </si>
  <si>
    <t>blister, 56 po 5mg</t>
  </si>
  <si>
    <t>1. Novodijagnostikovani bolesnici sa primarnom mijelofibrozom sa izraženom splenomegalijom ili konstitucionalnim simptomima a koji po IPSS prognostičkom skoru pripadaju podrgupama intermedijarnog ili visokog rizika (D47.4). 
2. Prethodno lečeni bolesnici sa primarnom mijelofibrozom, post PV mijelofibrozom ili post ET mijelofibrozom koji imaju izraženu splenomegaliju ili konstitucionalne simptome, a rezistentni su na terapiju hidroksiureom (D47.4).</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</si>
  <si>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</si>
  <si>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1039250</t>
  </si>
  <si>
    <t>blister, 56 po 15mg</t>
  </si>
  <si>
    <t>1039251</t>
  </si>
  <si>
    <t>blister, 56 po 20mg</t>
  </si>
  <si>
    <t>1039102</t>
  </si>
  <si>
    <t>L01XE23</t>
  </si>
  <si>
    <t>dabrafenib</t>
  </si>
  <si>
    <t>TAFINLAR ◊</t>
  </si>
  <si>
    <t>boca plastična,120 po 75mg</t>
  </si>
  <si>
    <t>Novartis Pharma GmbH, Lek Pharmaceuticals d.d., Glaxo Wellcome S.A.</t>
  </si>
  <si>
    <t>Nemačka; Slovenija; Španija</t>
  </si>
  <si>
    <t>1.Sistemsko lečenje pacijenata sa uznapredovalim i/ili metastatskim BRAF pozitivnim melanomom kože PS 0-1(C43)
2.Adjuvatno lečenje pacijenata sa melanomom stadijuma III sa BRAF V600 mutacijom, nakon potpune resekcije, u kombinaciji sa trametinibom (C43)</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</si>
  <si>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2.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</si>
  <si>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L01XE25</t>
  </si>
  <si>
    <t>trametinib</t>
  </si>
  <si>
    <t>MEKINIST ◊</t>
  </si>
  <si>
    <t>boca plastična, 30 po 2 mg</t>
  </si>
  <si>
    <t>Novartis Pharma GmbH; Lek Pharmaceuticals d.d.</t>
  </si>
  <si>
    <t>Nemačka; Slovenija</t>
  </si>
  <si>
    <t>1. U kombinaciji sa Tafinlarom, u sistemskom lečenju pacijenata sa uznapredovalim i/ili metastatskim BRAF pozitivnim melanomom kože PS 0-1 (C43).
2. Adjuvatno lečenje pacijenata sa melanomom stadijuma III sa BRAF V600 mutacijom, nakon potpune resekcije, u kombinaciji sa dabrafenibom (C43).</t>
  </si>
  <si>
    <t>1039730</t>
  </si>
  <si>
    <t>L01XE26</t>
  </si>
  <si>
    <t>kabozantinib</t>
  </si>
  <si>
    <t>CABOMETYX ◊</t>
  </si>
  <si>
    <t>boca plastična, 30 po 20 mg</t>
  </si>
  <si>
    <t>Patheon France - Bourgoin Jallieu; Tjoapack Netherlands B.V.</t>
  </si>
  <si>
    <t>Francuska; Holandija</t>
  </si>
  <si>
    <t>PharmaSwiss d.o.o.</t>
  </si>
  <si>
    <t>1039731</t>
  </si>
  <si>
    <t>boca plastična, 30 po 40 mg</t>
  </si>
  <si>
    <t>1039732</t>
  </si>
  <si>
    <t>boca plastična, 30 po 60 mg</t>
  </si>
  <si>
    <t>1039103</t>
  </si>
  <si>
    <t>palbociklib</t>
  </si>
  <si>
    <t>IBRANCE ◊</t>
  </si>
  <si>
    <t>blister, 21 po 75 mg</t>
  </si>
  <si>
    <t xml:space="preserve"> Za lečenje lokalno uznapredovalog ili metastatskog karcinoma dojke, pozitivnog na hormonski receptor (HR) i negativnog na receptor humanog epidermalnog faktora rasta 2 (HER2):
- početna endokrina terapija u kombinaciji sa inhibitorom aromataze,
 -u drugoj liniji u kombinaciji sa fulvestrantom kod žena koje su  prethodno primale endokrinu terapiju.
(C50)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</si>
  <si>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</si>
  <si>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 xml:space="preserve">1039104 </t>
  </si>
  <si>
    <t>blister, 21 po 100 mg</t>
  </si>
  <si>
    <t>1039105</t>
  </si>
  <si>
    <t>blister, 21 po 125 mg</t>
  </si>
  <si>
    <t>1039650</t>
  </si>
  <si>
    <t>L01XE36</t>
  </si>
  <si>
    <t>alektinib</t>
  </si>
  <si>
    <t>ALECENSA ◊</t>
  </si>
  <si>
    <t>blister, 224 po 150 mg</t>
  </si>
  <si>
    <t>Delpharm Milano S.R.L.; F.Hoffmann-La Roche LTD</t>
  </si>
  <si>
    <t>Italija; Švajcarska</t>
  </si>
  <si>
    <t>Prva linija terapije za lečenje odraslih pacijenata sa uznapredovalim nemikrocelularnim karcinomom pluća pozitivnim na kinazu anaplastičnog limfoma.</t>
  </si>
  <si>
    <t>L01XE42</t>
  </si>
  <si>
    <t>ribociklib</t>
  </si>
  <si>
    <t>KISQALI ◊</t>
  </si>
  <si>
    <t>blister, 63 po 200 mg</t>
  </si>
  <si>
    <t xml:space="preserve">Novartis Pharma Produktions GmbH; Novartis Pharma Stein AG	 </t>
  </si>
  <si>
    <t>Nemačka; Švajcarska</t>
  </si>
  <si>
    <t>Za lečenje lokalno uznapredovalog ili metastatskog karcinoma dojke, pozitivnog na hormonski receptor (HR) i negativnog na receptor humanog epidermalnog faktora rasta 2 (HER2):
- početna endokrina terapija u kombinaciji sa inhibitorom aromataze,
- u drugoj liniji u kombinaciji sa fulvestrantom kod žena koje su prethodno primale endokrinu terapiju.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</si>
  <si>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</si>
  <si>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L01XE43</t>
  </si>
  <si>
    <t>brigatinib</t>
  </si>
  <si>
    <t>ALUNBRIG ◊</t>
  </si>
  <si>
    <t>blister, 28 po 90 mg</t>
  </si>
  <si>
    <t>Takeda Austria GmbH</t>
  </si>
  <si>
    <t>L01XK04</t>
  </si>
  <si>
    <t>talazoparib</t>
  </si>
  <si>
    <t>TALZENNA ◊</t>
  </si>
  <si>
    <t>bočica plastična, 30 po 0,25 mg</t>
  </si>
  <si>
    <t>Excella GmbH &amp; Co. KG</t>
  </si>
  <si>
    <t>Kao monoterapija za lečenje lokalno uznapredovalog ili metastatskog HER2- negativnog karcinoma dojke kod odraslih pacijenata sa germinativnim mutacijama BRCA1/2 gena. Pacijenti bi trebalo da su prethodno lečeni antraciklinima i/ili taksanima u (neo) adjuvantnom, lokalno uznapredovalom ili metastatskom okruženju, osim ukoliko pacijenti nisu pogodni za ove vrste terapija. Pacijenti sa karcinomom dojke pozitivnim na hormonski receptor (HR) trebalo bi da su prethodno lečeni endokrinom terapijom ili da su smatrani nepogodnim za primenu endokrine terapije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</si>
  <si>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</si>
  <si>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1039993</t>
  </si>
  <si>
    <t>bočica plastična, 30 po 1 mg</t>
  </si>
  <si>
    <t>tretinoin</t>
  </si>
  <si>
    <t>VESANOID ◊</t>
  </si>
  <si>
    <t>kapsula, meka</t>
  </si>
  <si>
    <t>bočica staklena, 100 po 10 mg</t>
  </si>
  <si>
    <t>Cenexi; Cheplapharm Arzneimittel GmbH</t>
  </si>
  <si>
    <t>Francuska; Nemačka</t>
  </si>
  <si>
    <t>Akutna mijeolidna leukemija, podtip akutna promijelocitna leukemija.</t>
  </si>
  <si>
    <t>Lek se uvodi u terapiju na osnovu mišljenja tri lekara sledećih zdravstvenih ustanova:
  - Klinika za hematologiju UKC Srbije, a na osnovu čijeg mišljenja se lek može primenjivati i u KBC Zvezdara,
  - Univerzitetska dečja klinika, 
  - Klinika za hematologiju UKC Vojvodine,
  - Klinika za hematologiju i kliničku imunologiju UKC Niš, 
  - UKC Kragujevac, 
  - Institut za zdravstvenu zaštitu majke i deteta Srbije „Dr Vukan Čupić”, 
  - Institut za decu i omladinu Vojvodine, 
  - Klinika za dečje interne bolesti UKC Niš, 
  - KBC Bežanijska Kosa,
  - Vojnomedicinska akademija,
  - KBC Zemun.</t>
  </si>
  <si>
    <t>1039991</t>
  </si>
  <si>
    <t>L01XX46</t>
  </si>
  <si>
    <t>olaparib</t>
  </si>
  <si>
    <t>LYNPARZA ◊</t>
  </si>
  <si>
    <t>blister, 56 po 100 mg</t>
  </si>
  <si>
    <t>AstraZeneca AB; AstraZeneca UK Limited</t>
  </si>
  <si>
    <t>Švedska; Velika Britanija</t>
  </si>
  <si>
    <t xml:space="preserve"> Lek Lynparza je indikovan kao: 
1. Monoterapija za terapiju održavanja kod odraslih pacijentkinja sa novodijagnostikovanim uznapredovalim (FIGO stadijum III i IV) ili relapsirajućim pozitivnim na BRCA mutacije (germinativne i/ili somatske) epitelijalnim karcinomom jajnika visokog stepena nediferenciranosti, karcinomom jajovoda ili primarnim peritonealnim karcinomom, osetljivim na platinu; potrebno je da su pacijentkinje postigle odgovor (potpun ili delimičan) nakon završetka prve linije hemioterapije zasnovane na platini kod novodijagnostikovanih ili odgovor (potpun ili delimičan) na neku od narednih linija hemioterapije zasnovane na platini kod pacijentkinja sa rekurentnom bolešću (C56;C57;C48).
2. Monoterapija ili u kombinaciji sa endokrinom terapijom za adjuvantno lečenje odraslih pacijenata sa germinativnim BRCA1/2- mutacijama koji imaju HER2 negativan, visokorizični karcinom dojke i koji su prethodno bili lečeni neoadjuvantnom ili adjuvantnom hemioterapijom (C50).
3. Monoterapija za lečenje odraslih pacijenata sa germinativnim BRCA1/2- mutacijama, koje imaju HER2 negativan lokalno uznapredovali ili metastatski karcinom dojke. Pacijenti bi trebalo da su prethodno primali terapiju antraciklinom i taksanom u sklopu (neo)adjuvantne ili terapije za metastatsku bolest, osim ukoliko pacijenti nisu bili pogodni za primanje ovih vrsta terapije.
Pacijenti sa karcinomom dojke pozitivnim na hormonski receptor (HR) treba takođe da su progredirali tokom ili nakon prethodne endokrine terapije, ili da se smatraju nepogodnim za endokrinu terapiju (C50).</t>
  </si>
  <si>
    <t>Za indikaciju pod tačkom 1.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2. i 3.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</si>
  <si>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1039990</t>
  </si>
  <si>
    <t>blister, 56 po 150 mg</t>
  </si>
  <si>
    <t>0039510</t>
  </si>
  <si>
    <t>L01XY02</t>
  </si>
  <si>
    <t>pertuzumab, trastuzumab</t>
  </si>
  <si>
    <t>PHESGO ◊</t>
  </si>
  <si>
    <t>bočica staklena, 1 po 15 ml (1200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</si>
  <si>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</si>
  <si>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0039511</t>
  </si>
  <si>
    <t>bočica staklena, 1 po 10 ml (600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</si>
  <si>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</si>
  <si>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1039602</t>
  </si>
  <si>
    <t>L02BB04</t>
  </si>
  <si>
    <t>enzalutamid</t>
  </si>
  <si>
    <t>XTANDI ◊</t>
  </si>
  <si>
    <t xml:space="preserve">kapsula, meka </t>
  </si>
  <si>
    <t>blister, 112 po 40 mg</t>
  </si>
  <si>
    <t>Astellas Pharma Europe B.V</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</si>
  <si>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</si>
  <si>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</si>
  <si>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1039610</t>
  </si>
  <si>
    <t>L02BB05</t>
  </si>
  <si>
    <t>apalutamid</t>
  </si>
  <si>
    <t>ERLEADA ◊</t>
  </si>
  <si>
    <t>blister, 120 po 60 mg</t>
  </si>
  <si>
    <t>Janssen Cilag S.P.A.</t>
  </si>
  <si>
    <t>0.24 g</t>
  </si>
  <si>
    <t>Lečenje metastatskog hormon zavisnog karcinoma prostate (mHSPC) u kombinaciji sa androgen deprivacionom terapijom (ADT) kod odraslih muškaraca (C61).</t>
  </si>
  <si>
    <t>1039721</t>
  </si>
  <si>
    <t>L02BX03</t>
  </si>
  <si>
    <t>abirateron</t>
  </si>
  <si>
    <t>ZYTIGA ◊</t>
  </si>
  <si>
    <t>boca, 120 po 250 mg</t>
  </si>
  <si>
    <t>Janssen-Cilag S.P.A.</t>
  </si>
  <si>
    <t>1g</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</si>
  <si>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</si>
  <si>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t>
  </si>
  <si>
    <t>ABIRATERON CORAPHARM ◊</t>
  </si>
  <si>
    <t>bočica plastična, 120 po 250 mg</t>
  </si>
  <si>
    <t>Synthon Hispania, SL;
Synthon BV</t>
  </si>
  <si>
    <t>Španija;
Holandija</t>
  </si>
  <si>
    <t>blister, 60 po 500 mg</t>
  </si>
  <si>
    <t>1039039</t>
  </si>
  <si>
    <t>ABIRATERON KRKA ◊</t>
  </si>
  <si>
    <t>Krka D.D., Novo mesto; Krka-Farma d.o.o.</t>
  </si>
  <si>
    <t>Slovenija; Hrvatska</t>
  </si>
  <si>
    <t>1 g</t>
  </si>
  <si>
    <t>ENAGAL ◊</t>
  </si>
  <si>
    <t>blister, 120 po 250 mg</t>
  </si>
  <si>
    <t>1039098</t>
  </si>
  <si>
    <t>JONOSOL ◊</t>
  </si>
  <si>
    <t>1039099</t>
  </si>
  <si>
    <t>ABIRATERON ZENTIVA ◊</t>
  </si>
  <si>
    <t>boca plastična, 60 po 500 mg</t>
  </si>
  <si>
    <t>boca plastična, 120 po 250 mg</t>
  </si>
  <si>
    <t>Synthon BV;
Synthon Hispania, SL</t>
  </si>
  <si>
    <t>1039092</t>
  </si>
  <si>
    <t>ABIRATERONE EVROPA LEK PHARMA ◊</t>
  </si>
  <si>
    <t>Bluepharma - Industria Farmaceutica, S.A.</t>
  </si>
  <si>
    <t>1039096</t>
  </si>
  <si>
    <t>ABIRATERON TEVA ◊</t>
  </si>
  <si>
    <t>Balkanpharma-Dupnitsa AD;
Merckle GmbH;
Teva Operations Poland SP. Z.O.O.</t>
  </si>
  <si>
    <t>Bugarska;
Nemačka;
Poljska</t>
  </si>
  <si>
    <t>0328388</t>
  </si>
  <si>
    <t>L03AB07</t>
  </si>
  <si>
    <t>interferon beta 1a</t>
  </si>
  <si>
    <t>REBIF</t>
  </si>
  <si>
    <t>napunjen injekcioni špric sa iglom, 12 po 0,5 ml (44 mcg/0,5 ml)</t>
  </si>
  <si>
    <t>Merck Serono S.P.A.; Merck Serono SA</t>
  </si>
  <si>
    <t xml:space="preserve"> Multipla skleroza</t>
  </si>
  <si>
    <t xml:space="preserve"> Lek se uvodi u terapiju na osnovu mišljenja Komisije RFZO.</t>
  </si>
  <si>
    <t>0328387</t>
  </si>
  <si>
    <t>interferon beta-1a</t>
  </si>
  <si>
    <t>napunjen injekcioni špric sa iglom, 12 po 0,5 ml (22 mcg/0,5 ml)</t>
  </si>
  <si>
    <t>0328647</t>
  </si>
  <si>
    <t>AVONEX</t>
  </si>
  <si>
    <t>napunjen injekcioni špric, 4 po 0,5 ml (30 mcg/0,5 ml)</t>
  </si>
  <si>
    <t xml:space="preserve">FUJIFILM Diosynth Biotechnologies Denmark ApS; Biogen Netherlands B.V. </t>
  </si>
  <si>
    <t>Danska; Holandija</t>
  </si>
  <si>
    <t>4,3 mcg</t>
  </si>
  <si>
    <t>0015150</t>
  </si>
  <si>
    <t>L03AB08</t>
  </si>
  <si>
    <t>interferon beta 1b</t>
  </si>
  <si>
    <t>BETAFERON</t>
  </si>
  <si>
    <t>bočica i rastvarač u napunjenom injekcionom špricu, 15 po 1,2 ml  (250 mcg/ml)</t>
  </si>
  <si>
    <t>Bayer AG</t>
  </si>
  <si>
    <t>4 Mi.j.</t>
  </si>
  <si>
    <t>0328608</t>
  </si>
  <si>
    <t>L03AB11</t>
  </si>
  <si>
    <t>peginterferon alfa-2a</t>
  </si>
  <si>
    <t>PEGASYS</t>
  </si>
  <si>
    <t>napunjen injekcioni špric sa iglom, 1 po 0,5 ml (180 mcg/0,5 ml)</t>
  </si>
  <si>
    <t>26 mcg</t>
  </si>
  <si>
    <t xml:space="preserve"> 1. Hronični HEPATITIS C sa ili bez kompenzovane ciroze jetre uzrokovane virusom hepatitisa C koji treba da zadovoljavaju sledeće kriterijume:
     a. virusološki profil:
           - anti HCV antitela pozitivna u serumu najkraće 6 meseci, 
           - pozitivan HCV RNK i određen genotip virusa;
     b. biohemijski nalaz: 
        - bez fibroze: povišena aktivnost transaminaza ili 
        - sa fibrozom: bez povišene aktivnosti transaminaza;
     c. histološki dokazano hronično zapaljenje jetre (nekroinflamatorna aktivnost sa ili bez fibroza);    
     d. bolesnici kojima nije rađena biopsija jetre zbog kontraindikacije, a ispunjavaju sve ostale uslove;
     e. bolesnici koji apstiniraju od i.v. droga i alkohola, najmanje 12 meseci uz potvrdu neuropsihijatra/psihijatra; 
     f. isključiti bolesnike sa prisutnim kontraindikacijama na terapiju pegilovanim interferonom i ribavirinom.Terapijski protokol: prema kriterijumima za lеčenje hroničnih oboljenja jetre (hroničnog hepatitisa i kompenzovane ciroze jetre) uzrokovanih virusom hepatitisa C (HCV) kombinovanom terapijom (pegilovani interferon alfa + ribavirin). Trajanje terapije zavisi od genotipa virusa kao i od terapijskog odgovora koji se proverava u 4., 12. i 24. nedelji lečenja. Viremija se proverava 24. i 72. nedelje od završteka lečenja.
 2. Hronični hepatitis B  za pacijente kod kojih je: 
   a.  HBsAg pozitivnost duža od 6 meseci;
   b. povišena aktivnost alaninaminotransferaze  (ALT povišena &gt;2,5 odnosno &gt;100 IU/ml);
   c. hronični hepatitis, sa ili bez fibroze;
   d. viremija (HBV DNK) ≤ 10⁷ kopija /ml krvi.</t>
  </si>
  <si>
    <t>0015119</t>
  </si>
  <si>
    <t>L03AX13</t>
  </si>
  <si>
    <t>COPAXONE</t>
  </si>
  <si>
    <t>rastvor za injekciju u napunjenom injekcijonom špricu</t>
  </si>
  <si>
    <t>napunjen injekcioni špric, 12 po 1 ml (40mg/ml)</t>
  </si>
  <si>
    <t>20 mg</t>
  </si>
  <si>
    <t>Multipla skleroza</t>
  </si>
  <si>
    <t>0015122</t>
  </si>
  <si>
    <t>glatiramer-acetat</t>
  </si>
  <si>
    <t>REMUREL</t>
  </si>
  <si>
    <t>Synthon Hispania, S.L;
Synthon B.V.</t>
  </si>
  <si>
    <t>Španija; Holandija</t>
  </si>
  <si>
    <t>Multipla skleroza.</t>
  </si>
  <si>
    <t>0015121</t>
  </si>
  <si>
    <t>L03AX16</t>
  </si>
  <si>
    <t>pleriksafor</t>
  </si>
  <si>
    <t>MOZOBIL</t>
  </si>
  <si>
    <t>16,8 mg</t>
  </si>
  <si>
    <t>1.Kod pacijenata obolelih od non-Hodgkin limfoma ili multiplog mijeloma koji su predhodno imali bar jednu neuspešnu mobilizaciju matičnih ćelija hematopoeze (prikupljeno&lt;2x10⁶CD 34+/kg telesne mase) (Z94).
2. Kod pacijenata obolelih od non-Hodgkin limfoma ili multiplog mijeloma kod kojih u toku mobilizacije, nakon 5 dana primene G-CSF-a, broj matičnih ćelija hematopoeze u perifernoj krvi nije dostigao odgovarajući nivo koji je potreban za ulazak u proces afereze (broj matičnih ćelija hematopoeze &lt;20CD34+/µL periferne krvi) ili kod pacijenata koji su prikupili &lt;2x10⁶CD34+ ćelija/kg u manje od 3 aferezena postupka u okviru jedne mobilizacije (Z94).</t>
  </si>
  <si>
    <t>Lek se uvodi u terapiju na osnovu mišljenja tri lekara specijalista hematologije zdravstvene ustanove koja obavlja transplantaciju matičnih ćelija hematopoeze.</t>
  </si>
  <si>
    <t>0014403</t>
  </si>
  <si>
    <t>L04AA23</t>
  </si>
  <si>
    <t>natalizumab</t>
  </si>
  <si>
    <t>TYSABRI</t>
  </si>
  <si>
    <t>bočica staklena, 1 po 15 ml (300mg/15ml)</t>
  </si>
  <si>
    <t>10 mg</t>
  </si>
  <si>
    <t>1014075</t>
  </si>
  <si>
    <t>L04AA27</t>
  </si>
  <si>
    <t>fingolimod</t>
  </si>
  <si>
    <t>GILENYA</t>
  </si>
  <si>
    <t>blister, 28 po 0,5 mg</t>
  </si>
  <si>
    <t>0,5 mg</t>
  </si>
  <si>
    <t>1014076</t>
  </si>
  <si>
    <t>blister deljiv na pojedinačne doze, 28 po 0,5 mg</t>
  </si>
  <si>
    <t>FILIVAL</t>
  </si>
  <si>
    <t>ESTRELA</t>
  </si>
  <si>
    <t>Bluepharma - Industria Farmaceutica S.A.</t>
  </si>
  <si>
    <t>0.5 mg</t>
  </si>
  <si>
    <t>1014070</t>
  </si>
  <si>
    <t>FINGOLIMOD ZENTIVA</t>
  </si>
  <si>
    <t>S.C. Zentiva S.A.</t>
  </si>
  <si>
    <t>1014009</t>
  </si>
  <si>
    <t>FINGOLIMOD CORAPHARM</t>
  </si>
  <si>
    <t>Synthon Hispania SL;
Synthon BV</t>
  </si>
  <si>
    <t>0.5 mg</t>
  </si>
  <si>
    <t>1014100</t>
  </si>
  <si>
    <t>tofacitinib</t>
  </si>
  <si>
    <t>XELJANZ</t>
  </si>
  <si>
    <t xml:space="preserve">blister, 56 po 5 mg </t>
  </si>
  <si>
    <t>L04AA31</t>
  </si>
  <si>
    <t>teriflunomid</t>
  </si>
  <si>
    <t>AUBAGIO</t>
  </si>
  <si>
    <t>blister, 28 po 14 mg</t>
  </si>
  <si>
    <t>Opella Healthcare International SAS</t>
  </si>
  <si>
    <t>Francuska</t>
  </si>
  <si>
    <t>14 mg</t>
  </si>
  <si>
    <t>L04AA33</t>
  </si>
  <si>
    <t>vedolizumab</t>
  </si>
  <si>
    <t>ENTYVIO</t>
  </si>
  <si>
    <t>0014020</t>
  </si>
  <si>
    <t>napunjen injekcioni špric, 1 po 0.68mL (108mg/0.68mL)</t>
  </si>
  <si>
    <t>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</si>
  <si>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</si>
  <si>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0014021</t>
  </si>
  <si>
    <t>napunjen injekcioni špric, 2 po 0.68mL (108mg/0.68mL)</t>
  </si>
  <si>
    <t>0014022</t>
  </si>
  <si>
    <t>rastvor za injekciju u napunjenom injekcionom penu</t>
  </si>
  <si>
    <t>napunjen injekcioni pen, 1 po 0.68mL (108mg/0.68mL)</t>
  </si>
  <si>
    <t>0014023</t>
  </si>
  <si>
    <t>napunjen injekcioni pen, 2 po 0.68mL (108mg/0.68mL)</t>
  </si>
  <si>
    <t xml:space="preserve">
Lek se uvodi u terapiju na osnovu mišljenja Komisije RFZO.</t>
  </si>
  <si>
    <t>0014002</t>
  </si>
  <si>
    <t>L04AA34</t>
  </si>
  <si>
    <t>alemtuzumab</t>
  </si>
  <si>
    <t>LEMTRADA</t>
  </si>
  <si>
    <t>bočica, 1 po 1.2ml (12mg/1.2ml)</t>
  </si>
  <si>
    <t>Genzyme Ireland Limited</t>
  </si>
  <si>
    <t xml:space="preserve"> Irska</t>
  </si>
  <si>
    <t>0,13 mg</t>
  </si>
  <si>
    <t>0014008</t>
  </si>
  <si>
    <t>L04AA36</t>
  </si>
  <si>
    <t>okrelizumab</t>
  </si>
  <si>
    <t>CORPOS</t>
  </si>
  <si>
    <t>bočica staklena, 1 po 10 ml (300mg/10ml)</t>
  </si>
  <si>
    <t>Hemofarm a.d. Vršac u saradnji sa F. Hoffman-La Roche Ltd, Švajcarska</t>
  </si>
  <si>
    <t>3,29 mg</t>
  </si>
  <si>
    <t>1014032</t>
  </si>
  <si>
    <t>L04AA37</t>
  </si>
  <si>
    <t>baricitinib</t>
  </si>
  <si>
    <t>OLUMIANT</t>
  </si>
  <si>
    <t>blister, 35 po 4 mg</t>
  </si>
  <si>
    <t>Lilly, S.A.</t>
  </si>
  <si>
    <t>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</si>
  <si>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1014010</t>
  </si>
  <si>
    <t>L04AA40</t>
  </si>
  <si>
    <t>kladribin</t>
  </si>
  <si>
    <t>MAVENCLAD</t>
  </si>
  <si>
    <t>blister, 1 po 10 mg</t>
  </si>
  <si>
    <t>Nerpharma S.R.L.; R-Pharm Germany GmbH</t>
  </si>
  <si>
    <t>Italija; Nemačka</t>
  </si>
  <si>
    <t>0,34 mg</t>
  </si>
  <si>
    <t>1014015</t>
  </si>
  <si>
    <t>L04AA42</t>
  </si>
  <si>
    <t>siponimod</t>
  </si>
  <si>
    <t>MAYZENT</t>
  </si>
  <si>
    <t>blister, 12 po 0,25 mg</t>
  </si>
  <si>
    <t>Novartis Farmaceutica S.A.</t>
  </si>
  <si>
    <t>Terapija odraslih pacijenata sa sekundarno progresivnom multiplom sklerozom (SPMS) sa aktivnom bolešću koja je potvrđena relapsima ili nalazima zapaljenske aktivnosti na snimcima (imidžing).</t>
  </si>
  <si>
    <t>1014013</t>
  </si>
  <si>
    <t>blister, 120 po 0,25 mg</t>
  </si>
  <si>
    <t>1014014</t>
  </si>
  <si>
    <t>blister, 28 po 2 mg</t>
  </si>
  <si>
    <t>L04AA44</t>
  </si>
  <si>
    <t>upadacitinib</t>
  </si>
  <si>
    <t>RINVOQ</t>
  </si>
  <si>
    <t>tableta sa produženim oslobađanjem</t>
  </si>
  <si>
    <t>blister, 28 po 15 mg</t>
  </si>
  <si>
    <t>Abbvie S.R.L.; Abbvie Logistics B.V.</t>
  </si>
  <si>
    <t>Italija; Holandija</t>
  </si>
  <si>
    <t>15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</si>
  <si>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</si>
  <si>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ponesimod</t>
  </si>
  <si>
    <t>PONVORY</t>
  </si>
  <si>
    <t xml:space="preserve">blister, 2mg; 3mg; 4mg; 5mg; 6mg; 7mg; 8mg; 9mg; 10mg, ukupno 14 kom, 1 x 6 kom + 1 x 3 kom + 1 x 5 kom </t>
  </si>
  <si>
    <t>ukupno 28 kom, 20
mg; blister, 2 x 14
kom</t>
  </si>
  <si>
    <t>0039039</t>
  </si>
  <si>
    <t>L04AA52</t>
  </si>
  <si>
    <t>ofatumumab</t>
  </si>
  <si>
    <t>KESIMPTA</t>
  </si>
  <si>
    <t>napunjeni injekcioni pen, 1 po 0,4 ml (20 mg)</t>
  </si>
  <si>
    <t xml:space="preserve">Novartis Pharma Stein AG Technical Operations Schweiz, Stein Steriles </t>
  </si>
  <si>
    <t xml:space="preserve"> Lek se uvodi u terapiju na osnovu mišljenja Komisije RFZO</t>
  </si>
  <si>
    <t>0014310</t>
  </si>
  <si>
    <t>L04AB01</t>
  </si>
  <si>
    <t>etanercept</t>
  </si>
  <si>
    <t>ENBREL</t>
  </si>
  <si>
    <t>bočica sa praškom i napunjeni injekcioni špric sa rastvaračem, 4 po 1ml (25mg/1ml)</t>
  </si>
  <si>
    <t xml:space="preserve"> Pfizer Manufacturing Belgium NV</t>
  </si>
  <si>
    <t xml:space="preserve"> Belgija</t>
  </si>
  <si>
    <t>7 mg</t>
  </si>
  <si>
    <t xml:space="preserve">
1. Juvenilni idiopatski artritis (M08) i to: 
a) poliartritis (pozitivni ili negativni na reumatoidni faktor) i prošireni oligoartritis kod dece uzrasta od 2 godine, i starijih, kod kojih postoji neadekvatan odgovor na metotreksat ili dokazana netolerancija na metotreksat; 
b) psorijazni artritis kod adolescenata starijih od 12 godina koji nisu imali odgovarajući odgovor na metotreksat ili je dokazana netolerancija na metotreksat; 
c) artritis povezan sa entezitisom kod adolescenata starijih od 12 godina koji nisu imali odgovarajući odgovor na ili kod kojih je dokazana netolerancija na konvencionalnu terapiju
2.Reumatoidni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Pedijatrijska plak psorijaza - teška forma hronične plak psorijaze (PASI ≥ 10 i/ili BSA ≥ 10 i/ili DLQI  ≥ 10) kod dece starije od 6 godina i kod adolescenata, koji nisu odgovorili, ili ne podnose, ili imaju kontraindikacije na najmanje dva različita ranije primenjena konvencionalna leka, uključujući fototerapiju, retinoide, metotreksat i ciklosporin (L40.0-L40.3; L40.5-L40.9).</t>
  </si>
  <si>
    <t xml:space="preserve">  Lek se uvodi u terapiju na osnovu mišljenja Komisije RFZO.</t>
  </si>
  <si>
    <t>0014312</t>
  </si>
  <si>
    <t>napunjen injekcioni špric sa iglom, 4 po 1 ml (50 mg/ml)</t>
  </si>
  <si>
    <t>0014313</t>
  </si>
  <si>
    <t>rastvor za injekciju u penu sa uloškom</t>
  </si>
  <si>
    <t>pen sa uloškom, 4 po 1 ml (50 mg/ml)</t>
  </si>
  <si>
    <t>0014321</t>
  </si>
  <si>
    <t>ERELZI</t>
  </si>
  <si>
    <t>napunjen injekcioni špric, 4 po 0.5mL (25mg/0.5mL)</t>
  </si>
  <si>
    <t>Sandoz GmbH -  Betriebsstatte/Manufacturing Site Aseptics Drug Product Schaftenau (Aseptics DPS)</t>
  </si>
  <si>
    <t>0014322</t>
  </si>
  <si>
    <t>napunjeni injekcioni pen, 4 po 1mL (50mg/mL)</t>
  </si>
  <si>
    <t>0014220</t>
  </si>
  <si>
    <t>L04AB02</t>
  </si>
  <si>
    <t>infliksimab</t>
  </si>
  <si>
    <t>REMICADE</t>
  </si>
  <si>
    <t>bočica, 1 po 100 mg</t>
  </si>
  <si>
    <t>3,75 mg</t>
  </si>
  <si>
    <t>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</si>
  <si>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 xml:space="preserve">  STAC; 
  Lek se uvodi u terapiju na osnovu mišljenja Komisije RFZO.</t>
  </si>
  <si>
    <t>0014204</t>
  </si>
  <si>
    <t>REMSIMA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</si>
  <si>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</si>
  <si>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0014221</t>
  </si>
  <si>
    <t>INFLECTRA</t>
  </si>
  <si>
    <t xml:space="preserve">
Hospira Zagreb d.o.o.</t>
  </si>
  <si>
    <t xml:space="preserve">
Republika Hrvatska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</si>
  <si>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</si>
  <si>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0014298</t>
  </si>
  <si>
    <t>L04AB04</t>
  </si>
  <si>
    <t>adalimumab</t>
  </si>
  <si>
    <t>HUMIRA</t>
  </si>
  <si>
    <t>napunjeni injekcioni pen, 2 po 0,4 ml (40mg/0,4ml)</t>
  </si>
  <si>
    <t>Abbvie Biotechnology GmbH</t>
  </si>
  <si>
    <t>2,9 mg</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</si>
  <si>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Za lečenje teškog oblika aktivne Crohn-ove bolesti (K50), kod pacijenata kod kojih prethodno lečenje kortikosteroidima i/ili nutritivnom terapijom, i imunosupresivima nije dalo zadovoljavajući odgovor, ili postoji kontraindikacija za pomenutu konvencionalnu terapiju;
6.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</si>
  <si>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</si>
  <si>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0014209</t>
  </si>
  <si>
    <t>napunjen injekcioni špric, 2 po 0,2 ml (20mg/0,2ml)</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</si>
  <si>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Za lečenje teškog oblika aktivne Crohn-ove bolesti (K50), kod pacijenata kod kojih prethodno lečenje kortikosteroidima i/ili nutritivnom terapijom, i imunosupresivima nije dalo zadovoljavajući odgovor, ili postoji kontraindikacija za pomenutu konvencionalnu terapiju.</t>
  </si>
  <si>
    <t>0014211</t>
  </si>
  <si>
    <t>napunjen injekcioni pen,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</si>
  <si>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</si>
  <si>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AMGEVITA</t>
  </si>
  <si>
    <t>napunjen injekcioni špric, 2 po 0,8 ml (40 mg/0,8 ml)</t>
  </si>
  <si>
    <t>0014214</t>
  </si>
  <si>
    <t>napunjen injekcioni pen, 2 po 0,8 ml (40 mg/0,8 ml)</t>
  </si>
  <si>
    <t>0014231</t>
  </si>
  <si>
    <t>IDACIO</t>
  </si>
  <si>
    <t>napunjen injekcioni špric, 2 po 0,8 ml (40 mg/0,8 mll)</t>
  </si>
  <si>
    <t>Fresenius Kabi Austria GmbH</t>
  </si>
  <si>
    <t>0014232</t>
  </si>
  <si>
    <t>napunjeni injekcioni pen, 2 po 0,8 ml (40 mg/0,8 mll)</t>
  </si>
  <si>
    <t>0014240</t>
  </si>
  <si>
    <t>HYRIMOZ</t>
  </si>
  <si>
    <t>napunjeni injekcioni pen, 2 po 0,8 ml (40 mg/0,8 ml)</t>
  </si>
  <si>
    <t>0014241</t>
  </si>
  <si>
    <t>0014235</t>
  </si>
  <si>
    <t>HUKYNDRA</t>
  </si>
  <si>
    <t>napunjeni injekcioni pen, 2 po 0.4mL (40mg/0.4mL)</t>
  </si>
  <si>
    <t>IL-CSM Clinical Supplies Management GmbH</t>
  </si>
  <si>
    <t>2.9 mg</t>
  </si>
  <si>
    <t>0014236</t>
  </si>
  <si>
    <t>napunjeni injekcioni špric, 2 po 0.4mL (40mg/0.4mL)</t>
  </si>
  <si>
    <t>0014237</t>
  </si>
  <si>
    <t>napunjen injekcioni špric,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</si>
  <si>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</si>
  <si>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0014234</t>
  </si>
  <si>
    <t>HULIO</t>
  </si>
  <si>
    <t>napunjeni injekcioni pen, 2 po 0.8 mL (40mg/0.8 mL)</t>
  </si>
  <si>
    <t>Andersonbrecon (UK) Limited;
Mcdermott Laboratories Limited T/A Mylan Dublin Biologics;
Mylan Germany GmbH</t>
  </si>
  <si>
    <t>Velika Britanija;
Irska;
Nemačka</t>
  </si>
  <si>
    <t>0014205</t>
  </si>
  <si>
    <t>L04AB06</t>
  </si>
  <si>
    <t>golimumab</t>
  </si>
  <si>
    <t>SIMPONI</t>
  </si>
  <si>
    <t>napunjen injekcioni špric, 1 po 0,5 ml (50 mg/0,5 ml)</t>
  </si>
  <si>
    <t>1,66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</si>
  <si>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5.  Juvenilni idiopatski poliartritis (pozitivni ili negativni na reumatoidni faktor) i prošireni oligoartritis (M08), kod dece sa telesnom masom najmanje 40kg, koji nisu adekvatno odgovorili na prethodnu terapiju metotreksatom.</t>
  </si>
  <si>
    <t>0014207</t>
  </si>
  <si>
    <t>1 po 1 ml (100 mg/1 ml)</t>
  </si>
  <si>
    <t>Janssen Biologics B.V</t>
  </si>
  <si>
    <t>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</si>
  <si>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0014302</t>
  </si>
  <si>
    <t>L04AC05</t>
  </si>
  <si>
    <t>ustekinumab</t>
  </si>
  <si>
    <t>STELARA</t>
  </si>
  <si>
    <t>napunjen injekcioni špric, 1 po 0,5 ml (45 mg/0,5 ml)</t>
  </si>
  <si>
    <t>Janssen Biologics B.V.;
Cilag AG</t>
  </si>
  <si>
    <t>Holandija; Švajcarska</t>
  </si>
  <si>
    <t>0.54 mg</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</si>
  <si>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</si>
  <si>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0014305</t>
  </si>
  <si>
    <t>napunjen injekcioni špric, 1 po 1 ml (90 mg/ml)</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</si>
  <si>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
3. Za lečenje teškog oblika aktivne Crohn-ove bolesti (K50), kod pacijenata kod kojih prethodno lečenje kortikosteroidima i/ili nutritivnom terapijom, i imunosupresivima nije dalo zadovoljavajući odgovor ili postoji kontraindikacija za pomenutu konvencionalnu terapiju
4.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</si>
  <si>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0014301</t>
  </si>
  <si>
    <t>bočica staklena, 1 po 26 ml (130 mg/26 ml)</t>
  </si>
  <si>
    <t>Janssen Biologics B.V.; Cilag A.G.</t>
  </si>
  <si>
    <t xml:space="preserve">
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</si>
  <si>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STAC;
Lek se uvodi u terapiju na osnovu mišljenja Komisije RFZO.     </t>
  </si>
  <si>
    <t>0014400</t>
  </si>
  <si>
    <t>L04AC07</t>
  </si>
  <si>
    <t>tocilizumab</t>
  </si>
  <si>
    <t>ACTEMRA</t>
  </si>
  <si>
    <t>bočica staklena, 1 po 4 ml (80 mg/4 ml)</t>
  </si>
  <si>
    <t>Roche Pharma AG</t>
  </si>
  <si>
    <t>20mg</t>
  </si>
  <si>
    <t xml:space="preserve">
1. a) Aktivni sistemski juvenilni artritis (M08.2; M06.1) kod pacijenata uzrasta od 2 godine, i starijih, koji nisu adekvatno odgovorili na prethodnu terapiju nesteroidnim antiinflamatornim lekovima (NSAIL) i sistemskim kortikosteroidima 
b) Juvenilni idiopatski poliartritis (pozitivni ili negativni na reumatoidni faktor) i prošireni oligoartritis (M08), kod pacijenata starih 2 godine i starijih, koji nisu adekvatno odgovorili na prethodnu terapiju metotreksatom.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</si>
  <si>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 xml:space="preserve">   STAC; Lek se uvodi u terapiju na osnovu mišljenja Komisije RFZO.</t>
  </si>
  <si>
    <t>0014401</t>
  </si>
  <si>
    <t>bočica staklena, 1 po 10 ml (200 mg/10 ml)</t>
  </si>
  <si>
    <t>0014402</t>
  </si>
  <si>
    <t>bočica staklena, 1 po 20 ml (400 mg/20 ml)</t>
  </si>
  <si>
    <t>0014410</t>
  </si>
  <si>
    <t>napunjen injekcioni špric, 4 po 0,9ml (162mg/0,9ml)</t>
  </si>
  <si>
    <t>1.Reumatoidni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Aktivni sistemski juvenilni artritis (M08.2; M06.1) kod pacijenata uzrasta od 2 godine, i starijih, koji nisu adekvatno odgovorili na prethodnu terapiju nesteroidnim antiinflamatornim lekovima (NSAIL) i sistemskim kortikosteroidima;
3. Juvenilni idiopatski poliartritis (pozitivni ili negativni na reumatoidni faktor) i prošireni oligoartritis (M08), kod pacijenata starih 2 godine i starijih, koji nisu adekvatno odgovorili na prethodnu terapiju metotreksatom.</t>
  </si>
  <si>
    <t>0014420</t>
  </si>
  <si>
    <t>L04AC10</t>
  </si>
  <si>
    <t>sekukinumab</t>
  </si>
  <si>
    <t>COSENTYX</t>
  </si>
  <si>
    <t>napunjen injekcioni špric, 2 po 1 ml (150mg)</t>
  </si>
  <si>
    <t>Novartis Pharma Stein AG Technical Operations Schweiz, Stein Steriles;
Sandoz GmbH-Betriebsstatte Manufacturing Site Aseptics Drug Product Schaftenau (Asceptic DPS)</t>
  </si>
  <si>
    <t>Švajcarska;
Austrija</t>
  </si>
  <si>
    <t>1.Psorijazni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4.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</si>
  <si>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0014421</t>
  </si>
  <si>
    <t>napunjen injekcioni pen, 2 po 1 ml (150mg)</t>
  </si>
  <si>
    <t>Novartis Pharma Stein AG;
Sandoz GmbH</t>
  </si>
  <si>
    <t>0014422</t>
  </si>
  <si>
    <t>L04AC13</t>
  </si>
  <si>
    <t>iksekizumab</t>
  </si>
  <si>
    <t>TALTZ</t>
  </si>
  <si>
    <t>napunjeni injekcioni pen, 1 po 1mL (80mg)</t>
  </si>
  <si>
    <t>Eli Lilly Italia S.P.A.;
Eli Lilly and Company</t>
  </si>
  <si>
    <t>Italija;
SAD</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</si>
  <si>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</si>
  <si>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0014430</t>
  </si>
  <si>
    <t>L04AC16</t>
  </si>
  <si>
    <t>guselkumab</t>
  </si>
  <si>
    <t>TREMFYA</t>
  </si>
  <si>
    <t>napunjen injekcioni špric, 1 po 1 ml (100mg/ml)</t>
  </si>
  <si>
    <t xml:space="preserve">Janssen Biologics B.V.;
Cilag A.G. </t>
  </si>
  <si>
    <t>Holandija; 
Švajcarska</t>
  </si>
  <si>
    <t>1,79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</si>
  <si>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</si>
  <si>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0014431</t>
  </si>
  <si>
    <t>L04AC18</t>
  </si>
  <si>
    <t>risankizumab</t>
  </si>
  <si>
    <t>SKYRIZI</t>
  </si>
  <si>
    <t>napunjen injekcioni špric, 2 po 0,83 ml (75mg/0,83ml)</t>
  </si>
  <si>
    <t>Abbvie S.R.L.</t>
  </si>
  <si>
    <t>1,67 mg</t>
  </si>
  <si>
    <t>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</si>
  <si>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1014022</t>
  </si>
  <si>
    <t>L04AX04</t>
  </si>
  <si>
    <t>lenalidomid</t>
  </si>
  <si>
    <t>REVLIMID ◊</t>
  </si>
  <si>
    <t>blister, 21 po 10 mg</t>
  </si>
  <si>
    <t>Celgene Europe Limited; 
Celgene Distribution B.V.</t>
  </si>
  <si>
    <t>Velika Britanija; Holandija</t>
  </si>
  <si>
    <t>10mg</t>
  </si>
  <si>
    <t>Lenalidomid u kombinaciji sa deksametazonom je indikovan za tretman multiplog mijeloma kod odraslih pacijenata koji su već primili najmanje jednu prethodnu terapiju, kod pacijenata kod kojih se ne može primeniti lečenje sa talidomidom i bortezomibom.</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</si>
  <si>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t>
  </si>
  <si>
    <t>blister, 21 po 25 mg</t>
  </si>
  <si>
    <t>1014041</t>
  </si>
  <si>
    <t>LENALIDOMIDE ZENTIVA ◊</t>
  </si>
  <si>
    <t>blister, 7 po 5 mg</t>
  </si>
  <si>
    <t>1014042</t>
  </si>
  <si>
    <t>1014043</t>
  </si>
  <si>
    <t>blister, 21 po 15 mg</t>
  </si>
  <si>
    <t>1014044</t>
  </si>
  <si>
    <t>1014026</t>
  </si>
  <si>
    <t>MUNDUS ◊</t>
  </si>
  <si>
    <t>blister, 21 po 5 mg</t>
  </si>
  <si>
    <t>Pharmadox Healthcare Ltd.;
Stada Arzneimittel AG</t>
  </si>
  <si>
    <t>Malta;
Nemačka</t>
  </si>
  <si>
    <t>1014027</t>
  </si>
  <si>
    <t>1014028</t>
  </si>
  <si>
    <t>1014029</t>
  </si>
  <si>
    <t>EUlen ◊</t>
  </si>
  <si>
    <t>Synthon BV; Synthon Hispania, SL</t>
  </si>
  <si>
    <t>Holandija; Španija</t>
  </si>
  <si>
    <t>LENALIDOMIDE GRINDEKS ◊</t>
  </si>
  <si>
    <t>AS Grindeks</t>
  </si>
  <si>
    <t>Letonija</t>
  </si>
  <si>
    <t>1014064</t>
  </si>
  <si>
    <t>1014067</t>
  </si>
  <si>
    <t>1014053</t>
  </si>
  <si>
    <t>LENALIDOMID ALKALOID ◊</t>
  </si>
  <si>
    <t>1014059</t>
  </si>
  <si>
    <t>1014055</t>
  </si>
  <si>
    <t>1014056</t>
  </si>
  <si>
    <t>0059211</t>
  </si>
  <si>
    <t>M05BA08</t>
  </si>
  <si>
    <t>zoledronska kiselina</t>
  </si>
  <si>
    <t>ZOMETA</t>
  </si>
  <si>
    <t>4 mg</t>
  </si>
  <si>
    <t xml:space="preserve"> 1. Humoralna hiperkalcemija u malignitetu ( HHM ) preko 3,0 mmol/l, primena i održavanje normokalcemije tokom narednih šest meseci;
  2. Hiperkalcemije preko 3.0 mmol/l;
  3. Hiperkalcemijska koma.                                       </t>
  </si>
  <si>
    <t>STAC; Lek se uvodi u terapiju na osnovu mišljenja tri lekara zdravstvene ustanove koja obavlja zdravstvenu delatnost na sekundarnom ili teracijarnom nivou zdravstvene zaštite.</t>
  </si>
  <si>
    <t>1079070</t>
  </si>
  <si>
    <t>N07XX02</t>
  </si>
  <si>
    <t>riluzol</t>
  </si>
  <si>
    <t>RILUTEK</t>
  </si>
  <si>
    <t>blister, 56 po 50 mg</t>
  </si>
  <si>
    <t>0,1 g</t>
  </si>
  <si>
    <t>L04AX07</t>
  </si>
  <si>
    <t>dimetilfumarat</t>
  </si>
  <si>
    <t>TECFIDERA</t>
  </si>
  <si>
    <t>gastrorezistentna kapsula, tvrda</t>
  </si>
  <si>
    <t>blister, 14 po 120 mg</t>
  </si>
  <si>
    <t>0099082</t>
  </si>
  <si>
    <t>S01LA05</t>
  </si>
  <si>
    <t>aflibercept</t>
  </si>
  <si>
    <t>EYLEA ◊</t>
  </si>
  <si>
    <t>bočica, 1 po 0.1ml (40mg/ml)</t>
  </si>
  <si>
    <t>Bayer Pharma AG; Bayer, Farmaceutska družba d.o.o.</t>
  </si>
  <si>
    <t>Za lečenje bolesnika sa dijabetičnim makularnim edemom koji zahvata centar makule (CSME) i kod kojih je fluoresceinskom angiografijom (FA) utvrđena prisutnost propuštajućih mikroaneurizmi smeštenih unutar 500 µm nedostupnih laserskoj fotokoagulaciji (FKG), bez znakova makularne ishemije, odnosno optičkom koherentnom tomografijom (OCT) potvrđeno centralno zadebljanje makule &gt;350 µm  sa elementima edema bez subretinalne fibroze i epimakularne membrane,  sa vidnom oštrinom ≥ 0,6 (6/10) i vrednosti HbA1C ≤ 8.</t>
  </si>
  <si>
    <t>Primena terapije se vrši u zdravstvenim ustanovama koje poseduju FA i OCT, a na osnovu mišljenja Komisije RFZO. Procena terapijskog odgovora se vrši nakon 3 meseca.</t>
  </si>
  <si>
    <t>0.48 g</t>
  </si>
  <si>
    <t xml:space="preserve">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 </t>
  </si>
  <si>
    <t>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</si>
  <si>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Klinika za hematologiju UKC Kragujevac,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</si>
  <si>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</si>
  <si>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</si>
  <si>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</si>
  <si>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</si>
  <si>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</si>
  <si>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</si>
  <si>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</si>
  <si>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160 mg</t>
  </si>
  <si>
    <t>5.4 mg</t>
  </si>
  <si>
    <t>L04AK02</t>
  </si>
  <si>
    <t>TERIFLUNOMID ZENTIVA</t>
  </si>
  <si>
    <t>Coripharma Ehf.</t>
  </si>
  <si>
    <t>Island</t>
  </si>
  <si>
    <t>1014920</t>
  </si>
  <si>
    <t>AYAXYA</t>
  </si>
  <si>
    <t xml:space="preserve">Abdi Ibrahim Ilac. San. VE Tic. A.S.;
Pharmaswiss d.o.o. </t>
  </si>
  <si>
    <t>Turska;
Republika Srbija</t>
  </si>
  <si>
    <t>1014998</t>
  </si>
  <si>
    <t>ARTEFLUMID</t>
  </si>
  <si>
    <t>1039272</t>
  </si>
  <si>
    <t>Pharos MT Ltd;
Remedica Ltd</t>
  </si>
  <si>
    <t>1039273</t>
  </si>
  <si>
    <t>1039269</t>
  </si>
  <si>
    <t>Remedica LTD;
Pharos MT LTD;
Teva Pharma B.V.</t>
  </si>
  <si>
    <t>Kipar;
Malta;
Holandija</t>
  </si>
  <si>
    <t>0.8 g</t>
  </si>
  <si>
    <t>1039271</t>
  </si>
  <si>
    <t>blister, 30 po 400 mg</t>
  </si>
  <si>
    <t>PAZOPANIB ZENTIVA ◊</t>
  </si>
  <si>
    <t>PAZOPANIB TEVA ◊</t>
  </si>
  <si>
    <t>1069200</t>
  </si>
  <si>
    <t>Elpen Pharmaceutical Co., Inc</t>
  </si>
  <si>
    <t>1069201</t>
  </si>
  <si>
    <t>ELTROMBOPAG SK ◊</t>
  </si>
  <si>
    <t>0,54 mg</t>
  </si>
  <si>
    <t>Kymos, S.L.; Netpharmalab Consulting Services</t>
  </si>
  <si>
    <t>Španija;
Španija</t>
  </si>
  <si>
    <t>GEFITINIB QILU ◊</t>
  </si>
  <si>
    <t>Remedica Ltd;
Pharmacare Premium Ltd.</t>
  </si>
  <si>
    <t>Kipar;
Malta</t>
  </si>
  <si>
    <t>blister, 30 po 12.5 mg</t>
  </si>
  <si>
    <t>blister, 30 po 50 mg</t>
  </si>
  <si>
    <t>SUNITINIB ZENTIVA ◊</t>
  </si>
  <si>
    <t>1039504</t>
  </si>
  <si>
    <t>1039040</t>
  </si>
  <si>
    <t>1039041</t>
  </si>
  <si>
    <t>1039042</t>
  </si>
  <si>
    <t>1039043</t>
  </si>
  <si>
    <t>1039044</t>
  </si>
  <si>
    <t>1039045</t>
  </si>
  <si>
    <t>boca plastična, 30 po 12.5 mg</t>
  </si>
  <si>
    <t>boca plastična, 30 po 25 mg</t>
  </si>
  <si>
    <t>boca plastična, 30 po 50 mg</t>
  </si>
  <si>
    <t>1.Lečenje pacijenata sa metastatskim kolorektalnim karcinomom (mCRC), PS 0 ili 1, u prvoj liniji lečenja, uz hemioterapiju koja sadrži fluoropirimidine.
2. ALYMSYS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</si>
  <si>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1.Lečenje pacijenata sa metastatskim kolorektalnim karcinomom (mCRC), PS 0 ili 1, u prvoj liniji lečenja, uz hemioterapiju koja sadrži fluoropirimidine.
2. ZIRABEV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</si>
  <si>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Univerzitetska dečja klinika,
 - Institut za zdravstvenu zaštitu majke i deteta Srbije „Dr Vukan Čupić”,
 - Institut za zdravstvenu zaštitu dece i omladine Vojvodine,
 - KBC Zemun.
Posle najmanje 6 meseci primene leka u zdravstvenoj ustanovi u kojoj je lek uveden u terapiju, nastavak terapije u zdravstvenim ustanovama koje obavljaju zdravstvenu delatnost na tercijarnom nivou, a po potrebi i u zdravstvenim ustanovama koje obavljaju zdravstvenu delatnost na sekundarnom nivou, prema mestu prebivališta osiguranog lica, na osnovu mišljenja Komisije RFZO, a na osnovu mišljenja tri lekara zdravstvene ustanove u kojoj se lek uvodi u terapiju.</t>
  </si>
  <si>
    <t>Lek se uvodi u terapiju na osnovu mišljenja tri lekara neurologa Klinike za neurologiju UKC Srbije, UKC Vojvodine, UKC Niš i UKC Kragujevac, kod pacijenata koji nisu respiratorno ugroženi.</t>
  </si>
  <si>
    <t>Teva Pharma S.L.U.;
Merckle GmbH;
Pliva Hrvatska d.o.o.</t>
  </si>
  <si>
    <t>Španija;
Nemačka;
Hrvatska</t>
  </si>
  <si>
    <t>L01FE02</t>
  </si>
  <si>
    <t>L01EF01</t>
  </si>
  <si>
    <t>Labormed-Pharma S.A.; Pharmadox  Healthcare Ltd.</t>
  </si>
  <si>
    <t xml:space="preserve"> Rumunija; Malta</t>
  </si>
  <si>
    <t xml:space="preserve">Genzyme Ireland Limited </t>
  </si>
  <si>
    <t>Loba Biotech GmbH</t>
  </si>
  <si>
    <t xml:space="preserve">Austrija </t>
  </si>
  <si>
    <t>U kombinaciji sa hormonskom terapijom indikovan je za adjuvantno lečenje odraslih pacijenata sa nodus pozitivnim ranim karcinomom dojke, pozitivnim na hormonski receptor (hormone receptor, HR), negativnim na receptor humanog epidermalnog faktora rasta 2 (human epidermal growth factor receptor 2, HER2), koji su pod visokim rizikom od recidiva (C50).
Kod žena u predmenopauzi ili perimenopauzi, hormonsku terapiju inhibitorom aromataze treba primenjivati u kombinaciji sa agonistom hormona koji oslobađa luteinizirajući hormon (luteinising hormone-releasing hormone, LHRH).</t>
  </si>
  <si>
    <t>1.Lečenje pacijenata sa metastatskim kolorektalnim karcinomom (mCRC), PS 0 ili 1, u prvoj liniji lečenja, uz hemioterapiju koja sadrži fluoropirimidine.
2. OYAVAS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</si>
  <si>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blister, 56 po 400 mg</t>
  </si>
  <si>
    <t>bočica plastična, 30 po 200mg</t>
  </si>
  <si>
    <t>Novartis Pharmaceutical Manufacturing LLC;
Glaxo Wellcome S.A.</t>
  </si>
  <si>
    <t>Slovenija; Španija</t>
  </si>
  <si>
    <t>bočica plastična, 60 po 400mg</t>
  </si>
  <si>
    <t>Teva Pharmaceuticals Europe B.V.;
Norton Healthcare Limited T/A Ivax Pharmaceuticals UK;
Merckle GmbH;
Actavis Group PTC EHF.</t>
  </si>
  <si>
    <t>Holandija;
Velika Britanija;
Nemačka;
Island</t>
  </si>
  <si>
    <t>bočica staklena, 1 po1,2ml; 20mg/ml</t>
  </si>
  <si>
    <t>Amgen Europe B.V.;
Amgen Technology (Ireland) Unlimited Company</t>
  </si>
  <si>
    <t>Holandija;
 Irska</t>
  </si>
  <si>
    <t xml:space="preserve">bočica staklena, 1 po 5 ml  (4 mg/5 ml) </t>
  </si>
  <si>
    <t>Sanochemia Prarmazeutika GmbH; Laboratori Fundacio Dau</t>
  </si>
  <si>
    <t>Austrija; Španija</t>
  </si>
  <si>
    <r>
      <t xml:space="preserve">blister, </t>
    </r>
    <r>
      <rPr>
        <sz val="8"/>
        <rFont val="Arial"/>
        <family val="2"/>
      </rPr>
      <t>56</t>
    </r>
    <r>
      <rPr>
        <sz val="8"/>
        <rFont val="Arial"/>
        <family val="2"/>
        <charset val="238"/>
      </rPr>
      <t xml:space="preserve"> po 500 mg</t>
    </r>
  </si>
  <si>
    <t>L01FX05</t>
  </si>
  <si>
    <t>L01XF01</t>
  </si>
  <si>
    <t>0014007</t>
  </si>
  <si>
    <t>300mg; bočica staklena, 1 po 300mg</t>
  </si>
  <si>
    <t>1. Za lečenje teškog oblika aktivne Crohn-ove bolesti (K-50), kod pacijenata kod kojih prethodno lečenje kortikosteroidima i/ili nutritivnom terapijom, i imunosupresivima nije dalo zadovoljavajući odgovor, ili postoji kontraindikacija za pomenutu konvecionalnu terapiju.
2.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t>
  </si>
  <si>
    <t xml:space="preserve"> STAC;
 Lek se uvodi u terapiju na osnovu mišljenja Komisije RFZO.</t>
  </si>
  <si>
    <t>Latina Pharma S.P.A.</t>
  </si>
  <si>
    <t>Pfizer Manufacturing Deutschland GmbH</t>
  </si>
  <si>
    <t>Merckle GmbH; 
Pliva Hrvatska d.o.o.;
Teva Operations Poland SP.Z.O.O.;
Actavis Group PTC EHF</t>
  </si>
  <si>
    <t>Nemačka;
Hrvatska;
Poljska;
Island</t>
  </si>
  <si>
    <t>L01EK01</t>
  </si>
  <si>
    <t>FINGOLIMOD TEVA</t>
  </si>
  <si>
    <t>Balkanpharma-Dupnitsa AD</t>
  </si>
  <si>
    <t>L04AF01</t>
  </si>
  <si>
    <t>Bugarska</t>
  </si>
  <si>
    <t>0039141</t>
  </si>
  <si>
    <t>CABAZITAXEL MEDIKUNION ◊</t>
  </si>
  <si>
    <t>bočica staklena, 1 po 6 mL (10mg/mL)</t>
  </si>
  <si>
    <t>Ever Pharma Jena GmbH</t>
  </si>
  <si>
    <t>Millmount Healthcare Ltd.;
Nuvisan France SARL;
Nuvisan GmbH;
Kymos, S.L.;
Midas Pharma GmbH</t>
  </si>
  <si>
    <t>Irska;
Francuska;
Nemačka;
Španija;
Nemačka</t>
  </si>
  <si>
    <t>Millmount Healthcare Ltd.;
Nuvisan GmbH;
Nuvisan France SARL;
Kymos, S.L.;
Midas Pharma GmbH</t>
  </si>
  <si>
    <t>Irska;
Nemačka;
Francuska;
Španija;
Nemačka</t>
  </si>
  <si>
    <t>Nuvisan France SARL;
Nuvisan GmbH;
Millmount Healthcare Limited</t>
  </si>
  <si>
    <t>Francuska;
Nemačka;
Irska</t>
  </si>
  <si>
    <t>1039556</t>
  </si>
  <si>
    <t>REFETIB ◊</t>
  </si>
  <si>
    <t>Remedica Ltd.</t>
  </si>
  <si>
    <t>Lek se uvodi u terapiju na osnovu mišljenja tri lekara sledećih zdravstvenih ustanova:
  - Institut za onkologiju i radiologiju Srbije, 
  - Klinika za urologiju UKCS, 
  - KBC Bežanijska Kosa,
  - Institut za onkologiju Vojvodine, 
  - Klinika za onkologiju UKC Niš,
  - UKC Kragujevac,
  - Vojnomedicinska akademija,
  - KBC Zemun.</t>
  </si>
  <si>
    <t>1039222</t>
  </si>
  <si>
    <t>SUNITINIB MEDIKUNION ◊</t>
  </si>
  <si>
    <t>1039223</t>
  </si>
  <si>
    <t>1039224</t>
  </si>
  <si>
    <t>1039113</t>
  </si>
  <si>
    <t>SUNITINIB MSN ◊</t>
  </si>
  <si>
    <t>MSN Labs Europe Limited;
Pharmadox Healthcare Ltd</t>
  </si>
  <si>
    <t>Malta;
Malta</t>
  </si>
  <si>
    <t>33 mg</t>
  </si>
  <si>
    <t>1039114</t>
  </si>
  <si>
    <t>1039115</t>
  </si>
  <si>
    <t>1039027</t>
  </si>
  <si>
    <t>SUNITINIB PLIVA ◊</t>
  </si>
  <si>
    <t>Teva Operations Poland SP. Z.O.O;
Pliva Hrvatska d.o.o.;
Actavis International LTD;
Balkanpharma-Dupnitsa AD</t>
  </si>
  <si>
    <t>Poljska;
Hrvatska;
Malta;
Bugarska</t>
  </si>
  <si>
    <t>1039028</t>
  </si>
  <si>
    <t>1039029</t>
  </si>
  <si>
    <t>1039370</t>
  </si>
  <si>
    <t>SORAFENIB SANDOZ ◊</t>
  </si>
  <si>
    <t>Remedica Ltd;
Pharos MT Limited;
Lek Farmacevtska Družba D.D.</t>
  </si>
  <si>
    <t>Kipar;
Malta;
Slovenija</t>
  </si>
  <si>
    <t>1039290</t>
  </si>
  <si>
    <t>FRONTIENT ◊</t>
  </si>
  <si>
    <t>Pharmacare Premium Ltd.</t>
  </si>
  <si>
    <t>1039291</t>
  </si>
  <si>
    <t>1039320</t>
  </si>
  <si>
    <t>PAZOPANIB SK ◊</t>
  </si>
  <si>
    <t>1039321</t>
  </si>
  <si>
    <t>0.6 g</t>
  </si>
  <si>
    <t>1039844</t>
  </si>
  <si>
    <t>L01EA03</t>
  </si>
  <si>
    <t>NILOTINIB STADA ◊</t>
  </si>
  <si>
    <t>Pharos Pharmaceutical Oriented Services Ltd.;
Pharos MT Ltd.;
Stada Arzneimittel AG</t>
  </si>
  <si>
    <t>Grčka;
Malta;
Nemačka</t>
  </si>
  <si>
    <t>L04AE01</t>
  </si>
  <si>
    <t>1014036</t>
  </si>
  <si>
    <t>FINGOLIMOD MYLAN</t>
  </si>
  <si>
    <t>blister, 28 po 0,5  mg</t>
  </si>
  <si>
    <t>Mylan Hungary KFT;
Mylan Germany GmbH</t>
  </si>
  <si>
    <t>Mađarska;
Nemačka</t>
  </si>
  <si>
    <t>1014103</t>
  </si>
  <si>
    <t>SOBRIMO</t>
  </si>
  <si>
    <t>Pharmathen SA</t>
  </si>
  <si>
    <t>1014150</t>
  </si>
  <si>
    <t>FINGOLIMOD MSN</t>
  </si>
  <si>
    <t>1014999</t>
  </si>
  <si>
    <t>TERIFLUNOMID PHARMAS</t>
  </si>
  <si>
    <t>Pharmadox Healthcare Ltd.;
Adalvo Limited;
Kevaro Group EOOD</t>
  </si>
  <si>
    <t>Malta;
Malta;
Bugarska</t>
  </si>
  <si>
    <t>14 mg </t>
  </si>
  <si>
    <t>L04AE04</t>
  </si>
  <si>
    <t>Janssen Pharmaceutica N.V;
Patheon France</t>
  </si>
  <si>
    <t>Belgija;
Francuska</t>
  </si>
  <si>
    <t>Janssen Pharmaceutica N.V;
Patheon France;
Creapharm Industry</t>
  </si>
  <si>
    <t>Belgija;
Francuska;
Francuska</t>
  </si>
  <si>
    <t>Millmount Healthcare Limited;
Nuvisan GmbH;
Nuvisan France SARL;
Midas Pharma GmbH;
Kymos, S.L.</t>
  </si>
  <si>
    <t>Irska;
Nemačka;
Francuska;
Nemačka;
Španija</t>
  </si>
  <si>
    <t>0014306</t>
  </si>
  <si>
    <t>UZPRUVO</t>
  </si>
  <si>
    <t>napunjen injekcioni špric, 1 po 0.5mL (45mg/0.5mL)</t>
  </si>
  <si>
    <t>Alvotech HF.</t>
  </si>
  <si>
    <t>0.54 mg</t>
  </si>
  <si>
    <t>0014307</t>
  </si>
  <si>
    <t>napunjen injekcioni špric, 1 po 1mL (90mg/1mL)</t>
  </si>
  <si>
    <t>1079073</t>
  </si>
  <si>
    <t>ALSEMOL</t>
  </si>
  <si>
    <t>Glenmark Pharmaceuticals S.R.O.</t>
  </si>
  <si>
    <t>Češka</t>
  </si>
  <si>
    <t xml:space="preserve"> Amiotrofična lateralna skleroza - AML  ( G12.2 ).</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</si>
  <si>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3.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 
4. Juvenilni idiopatski artritis (M08) i to: 
a) poliartritis (pozitivni ili negativni na reumatoidni faktor) i prošireni oligoartritis kod adolescenata starijih od 12 godina, kod kojih postoji neadekvatan odgovor na metotreksat ili dokazana netolerancija na metotreksat; 
b) psorijazni artritis kod adolescenata starijih od 12 godina koji nisu imali odgovarajući odgovor na metotreksat ili je dokazana netolerancija na metotreksat;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</si>
</sst>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2">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8"/>
      <name val="Arial"/>
      <family val="2"/>
    </font>
    <font>
      <sz val="10"/>
      <name val="Arial"/>
      <family val="2"/>
      <charset val="238"/>
    </font>
    <font>
      <sz val="10"/>
      <name val="Arial"/>
      <family val="2"/>
    </font>
    <font>
      <sz val="8"/>
      <name val="Arial"/>
      <family val="2"/>
      <charset val="238"/>
    </font>
    <font>
      <sz val="10"/>
      <color theme="1"/>
      <name val="Arial"/>
      <family val="2"/>
      <charset val="238"/>
    </font>
    <font>
      <u/>
      <sz val="10"/>
      <color indexed="12"/>
      <name val="Arial"/>
      <family val="2"/>
    </font>
    <font>
      <sz val="8"/>
      <name val="Calibri"/>
      <family val="2"/>
      <charset val="238"/>
    </font>
    <font>
      <sz val="8"/>
      <name val="Calibri"/>
      <family val="2"/>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1"/>
      <color indexed="8"/>
      <name val="Calibri"/>
      <family val="2"/>
      <charset val="238"/>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indexed="8"/>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
      <sz val="9"/>
      <name val="Arial"/>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506">
    <xf numFmtId="0" fontId="0" fillId="0" borderId="0"/>
    <xf numFmtId="0" fontId="3" fillId="0" borderId="0"/>
    <xf numFmtId="0" fontId="1" fillId="0" borderId="0"/>
    <xf numFmtId="0" fontId="5" fillId="0" borderId="0"/>
    <xf numFmtId="0" fontId="6" fillId="0" borderId="0"/>
    <xf numFmtId="0" fontId="5" fillId="0" borderId="0"/>
    <xf numFmtId="0" fontId="1" fillId="0" borderId="0"/>
    <xf numFmtId="0" fontId="8" fillId="0" borderId="0"/>
    <xf numFmtId="0" fontId="3" fillId="0" borderId="0"/>
    <xf numFmtId="0" fontId="6" fillId="0" borderId="0"/>
    <xf numFmtId="0" fontId="1" fillId="0" borderId="0"/>
    <xf numFmtId="0" fontId="5" fillId="0" borderId="0"/>
    <xf numFmtId="0" fontId="3" fillId="0" borderId="0"/>
    <xf numFmtId="0" fontId="1" fillId="0" borderId="0"/>
    <xf numFmtId="0" fontId="5" fillId="0" borderId="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0" fontId="1" fillId="0" borderId="0"/>
    <xf numFmtId="0" fontId="1" fillId="0" borderId="0"/>
    <xf numFmtId="0" fontId="1" fillId="0" borderId="0"/>
    <xf numFmtId="0" fontId="6" fillId="0" borderId="0"/>
    <xf numFmtId="0" fontId="5" fillId="0" borderId="0"/>
    <xf numFmtId="0" fontId="6" fillId="0" borderId="0"/>
    <xf numFmtId="0" fontId="6" fillId="0" borderId="0"/>
    <xf numFmtId="0" fontId="6" fillId="0" borderId="0"/>
    <xf numFmtId="0" fontId="5" fillId="0" borderId="0"/>
    <xf numFmtId="0" fontId="1" fillId="0" borderId="0"/>
    <xf numFmtId="0" fontId="6" fillId="0" borderId="0"/>
    <xf numFmtId="0" fontId="6" fillId="0" borderId="0"/>
    <xf numFmtId="0" fontId="8" fillId="0" borderId="0"/>
    <xf numFmtId="0" fontId="1" fillId="0" borderId="0"/>
    <xf numFmtId="0" fontId="6" fillId="0" borderId="0"/>
    <xf numFmtId="0" fontId="5" fillId="0" borderId="0"/>
    <xf numFmtId="0" fontId="5" fillId="0" borderId="0"/>
    <xf numFmtId="0" fontId="1" fillId="0" borderId="0"/>
    <xf numFmtId="165" fontId="1" fillId="0" borderId="0" applyFont="0" applyFill="0" applyBorder="0" applyAlignment="0" applyProtection="0"/>
    <xf numFmtId="0" fontId="8" fillId="0" borderId="0"/>
    <xf numFmtId="0" fontId="6" fillId="0" borderId="0"/>
    <xf numFmtId="0" fontId="6" fillId="0" borderId="0"/>
    <xf numFmtId="0" fontId="3" fillId="0" borderId="0"/>
    <xf numFmtId="0" fontId="15" fillId="0" borderId="0"/>
    <xf numFmtId="0" fontId="20" fillId="66" borderId="9" applyNumberFormat="0" applyAlignment="0" applyProtection="0"/>
    <xf numFmtId="0" fontId="23" fillId="58" borderId="10" applyNumberFormat="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4"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6"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8"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0"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1" borderId="0" applyNumberFormat="0" applyFont="0" applyBorder="0" applyAlignment="0" applyProtection="0"/>
    <xf numFmtId="0" fontId="15" fillId="41" borderId="0" applyNumberFormat="0" applyFont="0" applyBorder="0" applyAlignment="0" applyProtection="0"/>
    <xf numFmtId="0" fontId="15" fillId="42" borderId="0" applyNumberFormat="0" applyFont="0" applyBorder="0" applyAlignment="0" applyProtection="0"/>
    <xf numFmtId="0" fontId="15" fillId="42" borderId="0" applyNumberFormat="0" applyFont="0" applyBorder="0" applyAlignment="0" applyProtection="0"/>
    <xf numFmtId="0" fontId="15" fillId="43" borderId="0" applyNumberFormat="0" applyFont="0" applyBorder="0" applyAlignment="0" applyProtection="0"/>
    <xf numFmtId="0" fontId="15" fillId="43" borderId="0" applyNumberFormat="0" applyFont="0" applyBorder="0" applyAlignment="0" applyProtection="0"/>
    <xf numFmtId="0" fontId="15" fillId="44" borderId="0" applyNumberFormat="0" applyFont="0" applyBorder="0" applyAlignment="0" applyProtection="0"/>
    <xf numFmtId="0" fontId="15" fillId="44"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6"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7" borderId="0" applyNumberFormat="0" applyFont="0" applyBorder="0" applyAlignment="0" applyProtection="0"/>
    <xf numFmtId="0" fontId="15" fillId="47" borderId="0" applyNumberFormat="0" applyFont="0" applyBorder="0" applyAlignment="0" applyProtection="0"/>
    <xf numFmtId="0" fontId="15" fillId="48" borderId="0" applyNumberFormat="0" applyFont="0" applyBorder="0" applyAlignment="0" applyProtection="0"/>
    <xf numFmtId="0" fontId="15" fillId="48" borderId="0" applyNumberFormat="0" applyFont="0" applyBorder="0" applyAlignment="0" applyProtection="0"/>
    <xf numFmtId="0" fontId="15" fillId="49" borderId="0" applyNumberFormat="0" applyFont="0" applyBorder="0" applyAlignment="0" applyProtection="0"/>
    <xf numFmtId="0" fontId="15" fillId="49" borderId="0" applyNumberFormat="0" applyFon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5"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7" fillId="58" borderId="9" applyNumberFormat="0" applyAlignment="0" applyProtection="0"/>
    <xf numFmtId="0" fontId="18" fillId="0" borderId="11" applyNumberFormat="0" applyFill="0" applyAlignment="0" applyProtection="0"/>
    <xf numFmtId="0" fontId="19" fillId="59" borderId="12" applyNumberFormat="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21" fillId="67" borderId="0" applyNumberFormat="0" applyBorder="0" applyAlignment="0" applyProtection="0"/>
    <xf numFmtId="0" fontId="15" fillId="0" borderId="0" applyNumberFormat="0" applyFont="0" applyBorder="0" applyProtection="0"/>
    <xf numFmtId="0" fontId="15"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14" fillId="0" borderId="0" applyNumberFormat="0" applyBorder="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9" fillId="0" borderId="0" applyNumberFormat="0" applyFill="0" applyBorder="0" applyAlignment="0" applyProtection="0"/>
    <xf numFmtId="0" fontId="30" fillId="0" borderId="18" applyNumberFormat="0" applyFill="0" applyAlignment="0" applyProtection="0"/>
    <xf numFmtId="0" fontId="31" fillId="69" borderId="0" applyNumberFormat="0" applyBorder="0" applyAlignment="0" applyProtection="0"/>
    <xf numFmtId="0" fontId="32" fillId="70" borderId="0" applyNumberFormat="0" applyBorder="0" applyAlignment="0" applyProtection="0"/>
    <xf numFmtId="0" fontId="3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 fillId="8" borderId="13" applyNumberFormat="0" applyFont="0" applyAlignment="0" applyProtection="0"/>
    <xf numFmtId="0" fontId="35" fillId="2"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6" fillId="6" borderId="10" applyNumberFormat="0" applyAlignment="0" applyProtection="0"/>
    <xf numFmtId="0" fontId="37" fillId="6" borderId="9" applyNumberFormat="0" applyAlignment="0" applyProtection="0"/>
    <xf numFmtId="0" fontId="38" fillId="3" borderId="0" applyNumberFormat="0" applyBorder="0" applyAlignment="0" applyProtection="0"/>
    <xf numFmtId="0" fontId="39" fillId="0" borderId="0" applyNumberFormat="0" applyFill="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4" borderId="0" applyNumberFormat="0" applyBorder="0" applyAlignment="0" applyProtection="0"/>
    <xf numFmtId="0" fontId="3" fillId="0" borderId="0"/>
    <xf numFmtId="0" fontId="44" fillId="0" borderId="11" applyNumberFormat="0" applyFill="0" applyAlignment="0" applyProtection="0"/>
    <xf numFmtId="0" fontId="45" fillId="7" borderId="12"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14" applyNumberFormat="0" applyFill="0" applyAlignment="0" applyProtection="0"/>
    <xf numFmtId="0" fontId="49" fillId="5" borderId="9" applyNumberFormat="0" applyAlignment="0" applyProtection="0"/>
    <xf numFmtId="0" fontId="3" fillId="0" borderId="0"/>
    <xf numFmtId="166" fontId="50"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xf numFmtId="0" fontId="33" fillId="0" borderId="0"/>
    <xf numFmtId="0" fontId="3" fillId="0" borderId="0"/>
    <xf numFmtId="0" fontId="6" fillId="0" borderId="0"/>
    <xf numFmtId="9" fontId="50"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52" fillId="0" borderId="0"/>
    <xf numFmtId="0" fontId="57" fillId="66" borderId="9" applyNumberFormat="0" applyAlignment="0" applyProtection="0"/>
    <xf numFmtId="0" fontId="59" fillId="58" borderId="10"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9" applyNumberFormat="0" applyAlignment="0" applyProtection="0"/>
    <xf numFmtId="0" fontId="55" fillId="0" borderId="11" applyNumberFormat="0" applyFill="0" applyAlignment="0" applyProtection="0"/>
    <xf numFmtId="0" fontId="56" fillId="59" borderId="12"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3"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5" applyNumberFormat="0" applyFill="0" applyAlignment="0" applyProtection="0"/>
    <xf numFmtId="0" fontId="64" fillId="0" borderId="19" applyNumberFormat="0" applyFill="0" applyAlignment="0" applyProtection="0"/>
    <xf numFmtId="0" fontId="65" fillId="0" borderId="17" applyNumberFormat="0" applyFill="0" applyAlignment="0" applyProtection="0"/>
    <xf numFmtId="0" fontId="65" fillId="0" borderId="0" applyNumberFormat="0" applyFill="0" applyBorder="0" applyAlignment="0" applyProtection="0"/>
    <xf numFmtId="0" fontId="66" fillId="0" borderId="18"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1" fillId="0" borderId="0"/>
    <xf numFmtId="0" fontId="8" fillId="0" borderId="0"/>
    <xf numFmtId="0" fontId="51" fillId="0" borderId="0"/>
    <xf numFmtId="0" fontId="3" fillId="0" borderId="0"/>
    <xf numFmtId="0" fontId="3" fillId="0" borderId="0"/>
    <xf numFmtId="0" fontId="3" fillId="0" borderId="0"/>
    <xf numFmtId="0" fontId="5" fillId="0" borderId="0"/>
    <xf numFmtId="9" fontId="69" fillId="0" borderId="0" applyFont="0" applyFill="0" applyBorder="0" applyAlignment="0" applyProtection="0"/>
    <xf numFmtId="0" fontId="5" fillId="0" borderId="0"/>
    <xf numFmtId="9" fontId="1" fillId="0" borderId="0" applyFont="0" applyFill="0" applyBorder="0" applyAlignment="0" applyProtection="0"/>
    <xf numFmtId="9" fontId="1" fillId="0" borderId="0" applyFont="0" applyFill="0" applyBorder="0" applyAlignment="0" applyProtection="0"/>
    <xf numFmtId="0" fontId="70" fillId="0" borderId="0"/>
    <xf numFmtId="0" fontId="1"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16" fillId="50" borderId="0" applyNumberFormat="0" applyBorder="0" applyAlignment="0" applyProtection="0"/>
    <xf numFmtId="0" fontId="53" fillId="50" borderId="0" applyNumberFormat="0" applyBorder="0" applyAlignment="0" applyProtection="0"/>
    <xf numFmtId="0" fontId="16" fillId="51" borderId="0" applyNumberFormat="0" applyBorder="0" applyAlignment="0" applyProtection="0"/>
    <xf numFmtId="0" fontId="53" fillId="51" borderId="0" applyNumberFormat="0" applyBorder="0" applyAlignment="0" applyProtection="0"/>
    <xf numFmtId="0" fontId="16" fillId="45" borderId="0" applyNumberFormat="0" applyBorder="0" applyAlignment="0" applyProtection="0"/>
    <xf numFmtId="0" fontId="53" fillId="52" borderId="0" applyNumberFormat="0" applyBorder="0" applyAlignment="0" applyProtection="0"/>
    <xf numFmtId="0" fontId="16" fillId="53" borderId="0" applyNumberFormat="0" applyBorder="0" applyAlignment="0" applyProtection="0"/>
    <xf numFmtId="0" fontId="53" fillId="54" borderId="0" applyNumberFormat="0" applyBorder="0" applyAlignment="0" applyProtection="0"/>
    <xf numFmtId="0" fontId="16" fillId="55" borderId="0" applyNumberFormat="0" applyBorder="0" applyAlignment="0" applyProtection="0"/>
    <xf numFmtId="0" fontId="53" fillId="55" borderId="0" applyNumberFormat="0" applyBorder="0" applyAlignment="0" applyProtection="0"/>
    <xf numFmtId="0" fontId="16" fillId="56" borderId="0" applyNumberFormat="0" applyBorder="0" applyAlignment="0" applyProtection="0"/>
    <xf numFmtId="0" fontId="53" fillId="57"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17" fillId="58" borderId="9" applyNumberFormat="0" applyAlignment="0" applyProtection="0"/>
    <xf numFmtId="0" fontId="54" fillId="58" borderId="9"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18" fillId="0" borderId="11" applyNumberFormat="0" applyFill="0" applyAlignment="0" applyProtection="0"/>
    <xf numFmtId="0" fontId="55" fillId="0" borderId="11" applyNumberFormat="0" applyFill="0" applyAlignment="0" applyProtection="0"/>
    <xf numFmtId="0" fontId="19" fillId="59" borderId="12" applyNumberFormat="0" applyAlignment="0" applyProtection="0"/>
    <xf numFmtId="0" fontId="56" fillId="59" borderId="1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16" fillId="60" borderId="0" applyNumberFormat="0" applyBorder="0" applyAlignment="0" applyProtection="0"/>
    <xf numFmtId="0" fontId="53" fillId="60" borderId="0" applyNumberFormat="0" applyBorder="0" applyAlignment="0" applyProtection="0"/>
    <xf numFmtId="0" fontId="16" fillId="61" borderId="0" applyNumberFormat="0" applyBorder="0" applyAlignment="0" applyProtection="0"/>
    <xf numFmtId="0" fontId="53" fillId="61" borderId="0" applyNumberFormat="0" applyBorder="0" applyAlignment="0" applyProtection="0"/>
    <xf numFmtId="0" fontId="16" fillId="62" borderId="0" applyNumberFormat="0" applyBorder="0" applyAlignment="0" applyProtection="0"/>
    <xf numFmtId="0" fontId="53" fillId="62" borderId="0" applyNumberFormat="0" applyBorder="0" applyAlignment="0" applyProtection="0"/>
    <xf numFmtId="0" fontId="16" fillId="63" borderId="0" applyNumberFormat="0" applyBorder="0" applyAlignment="0" applyProtection="0"/>
    <xf numFmtId="0" fontId="53" fillId="63" borderId="0" applyNumberFormat="0" applyBorder="0" applyAlignment="0" applyProtection="0"/>
    <xf numFmtId="0" fontId="16" fillId="64" borderId="0" applyNumberFormat="0" applyBorder="0" applyAlignment="0" applyProtection="0"/>
    <xf numFmtId="0" fontId="53" fillId="64" borderId="0" applyNumberFormat="0" applyBorder="0" applyAlignment="0" applyProtection="0"/>
    <xf numFmtId="0" fontId="16" fillId="65" borderId="0" applyNumberFormat="0" applyBorder="0" applyAlignment="0" applyProtection="0"/>
    <xf numFmtId="0" fontId="53" fillId="65" borderId="0" applyNumberFormat="0" applyBorder="0" applyAlignment="0" applyProtection="0"/>
    <xf numFmtId="43" fontId="50" fillId="0" borderId="0" applyFont="0" applyFill="0" applyBorder="0" applyAlignment="0" applyProtection="0"/>
    <xf numFmtId="166"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3" fillId="0" borderId="0" applyFont="0" applyFill="0" applyBorder="0" applyAlignment="0" applyProtection="0"/>
    <xf numFmtId="43" fontId="69"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12" fillId="0" borderId="6"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20" fillId="66" borderId="9" applyNumberFormat="0" applyAlignment="0" applyProtection="0"/>
    <xf numFmtId="0" fontId="57" fillId="66" borderId="9"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167" fontId="50" fillId="0" borderId="0" applyFont="0" applyFill="0" applyBorder="0" applyAlignment="0" applyProtection="0"/>
    <xf numFmtId="167" fontId="50" fillId="0" borderId="0" applyFont="0" applyFill="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21" fillId="67" borderId="0" applyNumberFormat="0" applyBorder="0" applyAlignment="0" applyProtection="0"/>
    <xf numFmtId="0" fontId="58" fillId="67" borderId="0" applyNumberFormat="0" applyBorder="0" applyAlignment="0" applyProtection="0"/>
    <xf numFmtId="0" fontId="5" fillId="0" borderId="0"/>
    <xf numFmtId="0" fontId="6" fillId="0" borderId="0"/>
    <xf numFmtId="0" fontId="1" fillId="0" borderId="0"/>
    <xf numFmtId="0" fontId="3" fillId="0" borderId="0"/>
    <xf numFmtId="0" fontId="5" fillId="0" borderId="0"/>
    <xf numFmtId="0" fontId="6" fillId="0" borderId="0"/>
    <xf numFmtId="0" fontId="1" fillId="0" borderId="0"/>
    <xf numFmtId="0" fontId="3" fillId="0" borderId="0"/>
    <xf numFmtId="0" fontId="5" fillId="0" borderId="0"/>
    <xf numFmtId="0" fontId="3" fillId="0" borderId="0"/>
    <xf numFmtId="0" fontId="3" fillId="0" borderId="0"/>
    <xf numFmtId="0" fontId="1" fillId="0" borderId="0"/>
    <xf numFmtId="0" fontId="5" fillId="0" borderId="0"/>
    <xf numFmtId="0" fontId="6" fillId="0" borderId="0"/>
    <xf numFmtId="0" fontId="1" fillId="0" borderId="0"/>
    <xf numFmtId="0" fontId="1" fillId="0" borderId="0"/>
    <xf numFmtId="0" fontId="8" fillId="0" borderId="0"/>
    <xf numFmtId="0" fontId="1" fillId="0" borderId="0"/>
    <xf numFmtId="0" fontId="8" fillId="0" borderId="0"/>
    <xf numFmtId="0" fontId="5" fillId="0" borderId="0"/>
    <xf numFmtId="0" fontId="6" fillId="0" borderId="0"/>
    <xf numFmtId="0" fontId="5" fillId="0" borderId="0"/>
    <xf numFmtId="0" fontId="8" fillId="0" borderId="0"/>
    <xf numFmtId="0" fontId="5" fillId="0" borderId="0"/>
    <xf numFmtId="0" fontId="6" fillId="0" borderId="0"/>
    <xf numFmtId="0" fontId="6" fillId="0" borderId="0"/>
    <xf numFmtId="0" fontId="3" fillId="0" borderId="0"/>
    <xf numFmtId="0" fontId="6" fillId="0" borderId="0"/>
    <xf numFmtId="0" fontId="1" fillId="0" borderId="0"/>
    <xf numFmtId="0" fontId="6" fillId="0" borderId="0"/>
    <xf numFmtId="0" fontId="1" fillId="0" borderId="0"/>
    <xf numFmtId="0" fontId="6" fillId="0" borderId="0"/>
    <xf numFmtId="0" fontId="6" fillId="0" borderId="0"/>
    <xf numFmtId="0" fontId="50" fillId="0" borderId="0"/>
    <xf numFmtId="0" fontId="5" fillId="0" borderId="0"/>
    <xf numFmtId="0" fontId="50" fillId="0" borderId="0"/>
    <xf numFmtId="0" fontId="3" fillId="0" borderId="0"/>
    <xf numFmtId="0" fontId="50" fillId="0" borderId="0"/>
    <xf numFmtId="0" fontId="51" fillId="0" borderId="0"/>
    <xf numFmtId="0" fontId="3" fillId="0" borderId="0"/>
    <xf numFmtId="0" fontId="3" fillId="0" borderId="0"/>
    <xf numFmtId="0" fontId="50" fillId="0" borderId="0"/>
    <xf numFmtId="0" fontId="51" fillId="0" borderId="0"/>
    <xf numFmtId="0" fontId="1" fillId="0" borderId="0"/>
    <xf numFmtId="0" fontId="3" fillId="0" borderId="0"/>
    <xf numFmtId="0" fontId="3" fillId="0" borderId="0"/>
    <xf numFmtId="0" fontId="3" fillId="0" borderId="0"/>
    <xf numFmtId="0" fontId="6"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6" fillId="0" borderId="0"/>
    <xf numFmtId="0" fontId="8" fillId="0" borderId="0"/>
    <xf numFmtId="0" fontId="6" fillId="0" borderId="0"/>
    <xf numFmtId="0" fontId="5" fillId="0" borderId="0"/>
    <xf numFmtId="0" fontId="33" fillId="0" borderId="0"/>
    <xf numFmtId="0" fontId="5" fillId="0" borderId="0"/>
    <xf numFmtId="0" fontId="1" fillId="0" borderId="0"/>
    <xf numFmtId="0" fontId="15" fillId="0" borderId="0"/>
    <xf numFmtId="0" fontId="15" fillId="0" borderId="0"/>
    <xf numFmtId="0" fontId="6" fillId="0" borderId="0"/>
    <xf numFmtId="0" fontId="6" fillId="0" borderId="0"/>
    <xf numFmtId="0" fontId="5" fillId="0" borderId="0"/>
    <xf numFmtId="0" fontId="1" fillId="0" borderId="0"/>
    <xf numFmtId="0" fontId="6" fillId="0" borderId="0"/>
    <xf numFmtId="0" fontId="6" fillId="0" borderId="0"/>
    <xf numFmtId="0" fontId="33" fillId="0" borderId="0"/>
    <xf numFmtId="0" fontId="1" fillId="0" borderId="0"/>
    <xf numFmtId="0" fontId="6" fillId="0" borderId="0"/>
    <xf numFmtId="0" fontId="3" fillId="0" borderId="0"/>
    <xf numFmtId="0" fontId="33" fillId="0" borderId="0"/>
    <xf numFmtId="0" fontId="33" fillId="0" borderId="0"/>
    <xf numFmtId="0" fontId="6" fillId="0" borderId="0"/>
    <xf numFmtId="0" fontId="3" fillId="0" borderId="0"/>
    <xf numFmtId="0" fontId="1" fillId="0" borderId="0"/>
    <xf numFmtId="0" fontId="3" fillId="0" borderId="0"/>
    <xf numFmtId="0" fontId="3" fillId="0" borderId="0"/>
    <xf numFmtId="0" fontId="5" fillId="0" borderId="0"/>
    <xf numFmtId="0" fontId="52" fillId="0" borderId="0"/>
    <xf numFmtId="0" fontId="6" fillId="0" borderId="0"/>
    <xf numFmtId="0" fontId="70" fillId="0" borderId="0"/>
    <xf numFmtId="0" fontId="5" fillId="0" borderId="0"/>
    <xf numFmtId="0" fontId="3" fillId="0" borderId="0"/>
    <xf numFmtId="0" fontId="5" fillId="0" borderId="0"/>
    <xf numFmtId="0" fontId="6" fillId="0" borderId="0"/>
    <xf numFmtId="0" fontId="3" fillId="0" borderId="0"/>
    <xf numFmtId="0" fontId="5" fillId="0" borderId="0"/>
    <xf numFmtId="0" fontId="6" fillId="0" borderId="0"/>
    <xf numFmtId="0" fontId="5" fillId="0" borderId="0"/>
    <xf numFmtId="0" fontId="1" fillId="0" borderId="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23" fillId="58" borderId="10" applyNumberFormat="0" applyAlignment="0" applyProtection="0"/>
    <xf numFmtId="0" fontId="59" fillId="58" borderId="10"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87"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27" fillId="0" borderId="15" applyNumberFormat="0" applyFill="0" applyAlignment="0" applyProtection="0"/>
    <xf numFmtId="0" fontId="63" fillId="0" borderId="15" applyNumberFormat="0" applyFill="0" applyAlignment="0" applyProtection="0"/>
    <xf numFmtId="0" fontId="28" fillId="0" borderId="16" applyNumberFormat="0" applyFill="0" applyAlignment="0" applyProtection="0"/>
    <xf numFmtId="0" fontId="64" fillId="0" borderId="16" applyNumberFormat="0" applyFill="0" applyAlignment="0" applyProtection="0"/>
    <xf numFmtId="0" fontId="29" fillId="0" borderId="17" applyNumberFormat="0" applyFill="0" applyAlignment="0" applyProtection="0"/>
    <xf numFmtId="0" fontId="65" fillId="0" borderId="17" applyNumberFormat="0" applyFill="0" applyAlignment="0" applyProtection="0"/>
    <xf numFmtId="0" fontId="29" fillId="0" borderId="0" applyNumberFormat="0" applyFill="0" applyBorder="0" applyAlignment="0" applyProtection="0"/>
    <xf numFmtId="0" fontId="65" fillId="0" borderId="0" applyNumberFormat="0" applyFill="0" applyBorder="0" applyAlignment="0" applyProtection="0"/>
    <xf numFmtId="0" fontId="26" fillId="0" borderId="0" applyNumberFormat="0" applyFill="0" applyBorder="0" applyAlignment="0" applyProtection="0"/>
    <xf numFmtId="0" fontId="62" fillId="0" borderId="0" applyNumberFormat="0" applyFill="0" applyBorder="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30" fillId="0" borderId="18" applyNumberFormat="0" applyFill="0" applyAlignment="0" applyProtection="0"/>
    <xf numFmtId="0" fontId="66" fillId="0" borderId="18" applyNumberFormat="0" applyFill="0" applyAlignment="0" applyProtection="0"/>
    <xf numFmtId="0" fontId="31" fillId="69" borderId="0" applyNumberFormat="0" applyBorder="0" applyAlignment="0" applyProtection="0"/>
    <xf numFmtId="0" fontId="67" fillId="69" borderId="0" applyNumberFormat="0" applyBorder="0" applyAlignment="0" applyProtection="0"/>
    <xf numFmtId="0" fontId="32" fillId="70" borderId="0" applyNumberFormat="0" applyBorder="0" applyAlignment="0" applyProtection="0"/>
    <xf numFmtId="0" fontId="68" fillId="70" borderId="0" applyNumberFormat="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8" fillId="0" borderId="0" applyNumberFormat="0" applyFill="0" applyBorder="0" applyAlignment="0" applyProtection="0"/>
    <xf numFmtId="0" fontId="1" fillId="0" borderId="0"/>
    <xf numFmtId="0" fontId="3" fillId="0" borderId="0"/>
    <xf numFmtId="0" fontId="6" fillId="0" borderId="0"/>
    <xf numFmtId="0" fontId="6" fillId="0" borderId="0"/>
    <xf numFmtId="0" fontId="1" fillId="0" borderId="0"/>
    <xf numFmtId="0" fontId="5" fillId="0" borderId="0"/>
    <xf numFmtId="0" fontId="8" fillId="0" borderId="0"/>
    <xf numFmtId="0" fontId="3" fillId="0" borderId="0"/>
    <xf numFmtId="0" fontId="6" fillId="0" borderId="0"/>
    <xf numFmtId="0" fontId="1" fillId="0" borderId="0"/>
    <xf numFmtId="0" fontId="6" fillId="0" borderId="0"/>
    <xf numFmtId="0" fontId="70" fillId="0" borderId="0"/>
    <xf numFmtId="0" fontId="5" fillId="0" borderId="0"/>
    <xf numFmtId="0" fontId="3" fillId="0" borderId="0"/>
    <xf numFmtId="0" fontId="6" fillId="0" borderId="0"/>
    <xf numFmtId="0" fontId="8" fillId="0" borderId="0"/>
    <xf numFmtId="0" fontId="6" fillId="0" borderId="0"/>
    <xf numFmtId="9" fontId="1" fillId="0" borderId="0" applyFont="0" applyFill="0" applyBorder="0" applyAlignment="0" applyProtection="0"/>
    <xf numFmtId="0" fontId="6"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3" fillId="50" borderId="0" applyNumberFormat="0" applyBorder="0" applyAlignment="0" applyProtection="0"/>
    <xf numFmtId="0" fontId="16" fillId="50" borderId="0" applyNumberFormat="0" applyBorder="0" applyAlignment="0" applyProtection="0"/>
    <xf numFmtId="0" fontId="53" fillId="79" borderId="0" applyNumberFormat="0" applyBorder="0" applyAlignment="0" applyProtection="0"/>
    <xf numFmtId="0" fontId="16" fillId="51" borderId="0" applyNumberFormat="0" applyBorder="0" applyAlignment="0" applyProtection="0"/>
    <xf numFmtId="0" fontId="53" fillId="80" borderId="0" applyNumberFormat="0" applyBorder="0" applyAlignment="0" applyProtection="0"/>
    <xf numFmtId="0" fontId="16" fillId="45" borderId="0" applyNumberFormat="0" applyBorder="0" applyAlignment="0" applyProtection="0"/>
    <xf numFmtId="0" fontId="53" fillId="81" borderId="0" applyNumberFormat="0" applyBorder="0" applyAlignment="0" applyProtection="0"/>
    <xf numFmtId="0" fontId="16" fillId="53" borderId="0" applyNumberFormat="0" applyBorder="0" applyAlignment="0" applyProtection="0"/>
    <xf numFmtId="0" fontId="53" fillId="82" borderId="0" applyNumberFormat="0" applyBorder="0" applyAlignment="0" applyProtection="0"/>
    <xf numFmtId="0" fontId="16" fillId="55" borderId="0" applyNumberFormat="0" applyBorder="0" applyAlignment="0" applyProtection="0"/>
    <xf numFmtId="0" fontId="53" fillId="83" borderId="0" applyNumberFormat="0" applyBorder="0" applyAlignment="0" applyProtection="0"/>
    <xf numFmtId="0" fontId="16" fillId="56" borderId="0" applyNumberFormat="0" applyBorder="0" applyAlignment="0" applyProtection="0"/>
    <xf numFmtId="0" fontId="54" fillId="58" borderId="9" applyNumberFormat="0" applyAlignment="0" applyProtection="0"/>
    <xf numFmtId="0" fontId="17" fillId="58" borderId="9" applyNumberFormat="0" applyAlignment="0" applyProtection="0"/>
    <xf numFmtId="0" fontId="55" fillId="0" borderId="11" applyNumberFormat="0" applyFill="0" applyAlignment="0" applyProtection="0"/>
    <xf numFmtId="0" fontId="18" fillId="0" borderId="11" applyNumberFormat="0" applyFill="0" applyAlignment="0" applyProtection="0"/>
    <xf numFmtId="0" fontId="56" fillId="59" borderId="12" applyNumberFormat="0" applyAlignment="0" applyProtection="0"/>
    <xf numFmtId="0" fontId="19" fillId="59" borderId="12" applyNumberFormat="0" applyAlignment="0" applyProtection="0"/>
    <xf numFmtId="0" fontId="53" fillId="60" borderId="0" applyNumberFormat="0" applyBorder="0" applyAlignment="0" applyProtection="0"/>
    <xf numFmtId="0" fontId="16" fillId="60" borderId="0" applyNumberFormat="0" applyBorder="0" applyAlignment="0" applyProtection="0"/>
    <xf numFmtId="0" fontId="53" fillId="61" borderId="0" applyNumberFormat="0" applyBorder="0" applyAlignment="0" applyProtection="0"/>
    <xf numFmtId="0" fontId="16" fillId="61" borderId="0" applyNumberFormat="0" applyBorder="0" applyAlignment="0" applyProtection="0"/>
    <xf numFmtId="0" fontId="53" fillId="62" borderId="0" applyNumberFormat="0" applyBorder="0" applyAlignment="0" applyProtection="0"/>
    <xf numFmtId="0" fontId="16" fillId="62" borderId="0" applyNumberFormat="0" applyBorder="0" applyAlignment="0" applyProtection="0"/>
    <xf numFmtId="0" fontId="53" fillId="63" borderId="0" applyNumberFormat="0" applyBorder="0" applyAlignment="0" applyProtection="0"/>
    <xf numFmtId="0" fontId="16" fillId="63" borderId="0" applyNumberFormat="0" applyBorder="0" applyAlignment="0" applyProtection="0"/>
    <xf numFmtId="0" fontId="53" fillId="64" borderId="0" applyNumberFormat="0" applyBorder="0" applyAlignment="0" applyProtection="0"/>
    <xf numFmtId="0" fontId="16" fillId="64" borderId="0" applyNumberFormat="0" applyBorder="0" applyAlignment="0" applyProtection="0"/>
    <xf numFmtId="0" fontId="53" fillId="65" borderId="0" applyNumberFormat="0" applyBorder="0" applyAlignment="0" applyProtection="0"/>
    <xf numFmtId="0" fontId="16" fillId="65" borderId="0" applyNumberFormat="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8"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0" fontId="20" fillId="66" borderId="9" applyNumberFormat="0" applyAlignment="0" applyProtection="0"/>
    <xf numFmtId="167" fontId="50" fillId="0" borderId="0" applyFont="0" applyFill="0" applyBorder="0" applyAlignment="0" applyProtection="0"/>
    <xf numFmtId="167" fontId="50" fillId="0" borderId="0" applyFont="0" applyFill="0" applyBorder="0" applyAlignment="0" applyProtection="0"/>
    <xf numFmtId="0" fontId="58" fillId="67" borderId="0" applyNumberFormat="0" applyBorder="0" applyAlignment="0" applyProtection="0"/>
    <xf numFmtId="0" fontId="21" fillId="67" borderId="0" applyNumberFormat="0" applyBorder="0" applyAlignment="0" applyProtection="0"/>
    <xf numFmtId="0" fontId="3"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1"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5" fillId="0" borderId="0"/>
    <xf numFmtId="0" fontId="3" fillId="0" borderId="0"/>
    <xf numFmtId="0" fontId="6" fillId="0" borderId="0"/>
    <xf numFmtId="0" fontId="6" fillId="0" borderId="0"/>
    <xf numFmtId="0" fontId="3" fillId="0" borderId="0"/>
    <xf numFmtId="0" fontId="52" fillId="0" borderId="0"/>
    <xf numFmtId="0" fontId="52" fillId="0" borderId="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23" fillId="58" borderId="10" applyNumberForma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63" fillId="0" borderId="15" applyNumberFormat="0" applyFill="0" applyAlignment="0" applyProtection="0"/>
    <xf numFmtId="0" fontId="27" fillId="0" borderId="15" applyNumberFormat="0" applyFill="0" applyAlignment="0" applyProtection="0"/>
    <xf numFmtId="0" fontId="64" fillId="0" borderId="19" applyNumberFormat="0" applyFill="0" applyAlignment="0" applyProtection="0"/>
    <xf numFmtId="0" fontId="28" fillId="0" borderId="16" applyNumberFormat="0" applyFill="0" applyAlignment="0" applyProtection="0"/>
    <xf numFmtId="0" fontId="65" fillId="0" borderId="17" applyNumberFormat="0" applyFill="0" applyAlignment="0" applyProtection="0"/>
    <xf numFmtId="0" fontId="29" fillId="0" borderId="17" applyNumberFormat="0" applyFill="0" applyAlignment="0" applyProtection="0"/>
    <xf numFmtId="0" fontId="65" fillId="0" borderId="0" applyNumberFormat="0" applyFill="0" applyBorder="0" applyAlignment="0" applyProtection="0"/>
    <xf numFmtId="0" fontId="29" fillId="0" borderId="0" applyNumberFormat="0" applyFill="0" applyBorder="0" applyAlignment="0" applyProtection="0"/>
    <xf numFmtId="0" fontId="62" fillId="0" borderId="0" applyNumberFormat="0" applyFill="0" applyBorder="0" applyAlignment="0" applyProtection="0"/>
    <xf numFmtId="0" fontId="26" fillId="0" borderId="0" applyNumberFormat="0" applyFill="0" applyBorder="0" applyAlignment="0" applyProtection="0"/>
    <xf numFmtId="0" fontId="66" fillId="0" borderId="18" applyNumberFormat="0" applyFill="0" applyAlignment="0" applyProtection="0"/>
    <xf numFmtId="0" fontId="30" fillId="0" borderId="18" applyNumberFormat="0" applyFill="0" applyAlignment="0" applyProtection="0"/>
    <xf numFmtId="0" fontId="67" fillId="69" borderId="0" applyNumberFormat="0" applyBorder="0" applyAlignment="0" applyProtection="0"/>
    <xf numFmtId="0" fontId="31" fillId="69" borderId="0" applyNumberFormat="0" applyBorder="0" applyAlignment="0" applyProtection="0"/>
    <xf numFmtId="0" fontId="68" fillId="70" borderId="0" applyNumberFormat="0" applyBorder="0" applyAlignment="0" applyProtection="0"/>
    <xf numFmtId="0" fontId="32" fillId="70" borderId="0" applyNumberFormat="0" applyBorder="0" applyAlignment="0" applyProtection="0"/>
    <xf numFmtId="0" fontId="8" fillId="0" borderId="0"/>
    <xf numFmtId="0" fontId="6" fillId="0" borderId="0"/>
    <xf numFmtId="0" fontId="6" fillId="0" borderId="0"/>
    <xf numFmtId="0" fontId="6" fillId="0" borderId="0"/>
    <xf numFmtId="0" fontId="6"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0" fontId="6" fillId="0" borderId="0"/>
    <xf numFmtId="0" fontId="90" fillId="0" borderId="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0" fontId="13" fillId="0" borderId="0" applyNumberFormat="0" applyFill="0" applyBorder="0" applyAlignment="0" applyProtection="0">
      <alignment vertical="top"/>
      <protection locked="0"/>
    </xf>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6"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3" fillId="0" borderId="0"/>
    <xf numFmtId="0" fontId="3" fillId="0" borderId="0"/>
    <xf numFmtId="0" fontId="15" fillId="0" borderId="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0" fontId="15" fillId="0" borderId="0"/>
    <xf numFmtId="0" fontId="3" fillId="0" borderId="0"/>
    <xf numFmtId="0" fontId="6" fillId="0" borderId="0"/>
    <xf numFmtId="0" fontId="3" fillId="0" borderId="0"/>
    <xf numFmtId="0" fontId="3" fillId="0" borderId="0"/>
    <xf numFmtId="0" fontId="6" fillId="0" borderId="0"/>
    <xf numFmtId="0" fontId="5" fillId="0" borderId="0"/>
    <xf numFmtId="0" fontId="3" fillId="0" borderId="0"/>
    <xf numFmtId="0" fontId="33" fillId="0" borderId="0"/>
    <xf numFmtId="0" fontId="3" fillId="0" borderId="0"/>
    <xf numFmtId="0" fontId="3" fillId="0" borderId="0"/>
    <xf numFmtId="0" fontId="3" fillId="0" borderId="0"/>
    <xf numFmtId="0" fontId="3" fillId="0" borderId="0"/>
    <xf numFmtId="0" fontId="1" fillId="0" borderId="0"/>
    <xf numFmtId="0" fontId="3" fillId="0" borderId="0"/>
    <xf numFmtId="0" fontId="6" fillId="0" borderId="0"/>
    <xf numFmtId="0" fontId="3" fillId="0" borderId="0"/>
    <xf numFmtId="0" fontId="1"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6" fillId="0" borderId="0"/>
    <xf numFmtId="0" fontId="1" fillId="0" borderId="0"/>
    <xf numFmtId="0" fontId="3" fillId="0" borderId="0"/>
    <xf numFmtId="0" fontId="1" fillId="0" borderId="0"/>
    <xf numFmtId="0" fontId="6" fillId="0" borderId="0"/>
    <xf numFmtId="0" fontId="8" fillId="0" borderId="0"/>
    <xf numFmtId="0" fontId="3" fillId="0" borderId="0"/>
    <xf numFmtId="0" fontId="3" fillId="0" borderId="0"/>
    <xf numFmtId="0" fontId="3" fillId="0" borderId="0"/>
    <xf numFmtId="0" fontId="6" fillId="0" borderId="0"/>
    <xf numFmtId="0" fontId="3" fillId="0" borderId="0"/>
    <xf numFmtId="0" fontId="3" fillId="0" borderId="0"/>
    <xf numFmtId="0" fontId="5" fillId="0" borderId="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0" fontId="3" fillId="31" borderId="0" applyNumberFormat="0" applyBorder="0" applyAlignment="0" applyProtection="0"/>
    <xf numFmtId="0" fontId="3" fillId="27" borderId="0" applyNumberFormat="0" applyBorder="0" applyAlignment="0" applyProtection="0"/>
    <xf numFmtId="0" fontId="3" fillId="23"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cellStyleXfs>
  <cellXfs count="141">
    <xf numFmtId="0" fontId="0" fillId="0" borderId="0" xfId="0"/>
    <xf numFmtId="0" fontId="4" fillId="0" borderId="1" xfId="30" applyFont="1" applyFill="1" applyBorder="1" applyAlignment="1">
      <alignment horizontal="center" wrapText="1"/>
    </xf>
    <xf numFmtId="0" fontId="7" fillId="0" borderId="1" xfId="16" applyFont="1" applyFill="1" applyBorder="1" applyAlignment="1">
      <alignment horizontal="center"/>
    </xf>
    <xf numFmtId="0" fontId="7" fillId="0" borderId="1" xfId="24" applyFont="1" applyFill="1" applyBorder="1" applyAlignment="1">
      <alignment horizontal="center"/>
    </xf>
    <xf numFmtId="0" fontId="4" fillId="0" borderId="1" xfId="8" applyFont="1" applyFill="1" applyBorder="1" applyAlignment="1">
      <alignment horizontal="left"/>
    </xf>
    <xf numFmtId="0" fontId="4" fillId="0" borderId="1" xfId="8" applyFont="1" applyFill="1" applyBorder="1" applyAlignment="1">
      <alignment horizontal="left" wrapText="1"/>
    </xf>
    <xf numFmtId="0" fontId="4" fillId="0" borderId="1" xfId="19" applyFont="1" applyFill="1" applyBorder="1" applyAlignment="1">
      <alignment horizontal="left" wrapText="1"/>
    </xf>
    <xf numFmtId="0" fontId="4" fillId="0" borderId="1" xfId="22" applyFont="1" applyFill="1" applyBorder="1" applyAlignment="1">
      <alignment horizontal="left" wrapText="1"/>
    </xf>
    <xf numFmtId="0" fontId="4" fillId="0" borderId="1" xfId="31" applyFont="1" applyFill="1" applyBorder="1" applyAlignment="1">
      <alignment horizontal="left" wrapText="1"/>
    </xf>
    <xf numFmtId="4" fontId="4" fillId="0" borderId="1" xfId="4" applyNumberFormat="1" applyFont="1" applyFill="1" applyBorder="1" applyAlignment="1">
      <alignment horizontal="center"/>
    </xf>
    <xf numFmtId="49" fontId="4" fillId="0" borderId="1" xfId="0" applyNumberFormat="1" applyFont="1" applyFill="1" applyBorder="1" applyAlignment="1">
      <alignment horizontal="center" wrapText="1"/>
    </xf>
    <xf numFmtId="4" fontId="4" fillId="0" borderId="1" xfId="7" applyNumberFormat="1" applyFont="1" applyFill="1" applyBorder="1" applyAlignment="1">
      <alignment horizontal="center" wrapText="1"/>
    </xf>
    <xf numFmtId="4" fontId="4" fillId="0" borderId="4" xfId="0" applyNumberFormat="1" applyFont="1" applyFill="1" applyBorder="1" applyAlignment="1">
      <alignment horizontal="center" wrapText="1"/>
    </xf>
    <xf numFmtId="0" fontId="4" fillId="0" borderId="1" xfId="19" applyFont="1" applyFill="1" applyBorder="1" applyAlignment="1">
      <alignment horizontal="center" wrapText="1"/>
    </xf>
    <xf numFmtId="4" fontId="4" fillId="0" borderId="1" xfId="19" applyNumberFormat="1" applyFont="1" applyFill="1" applyBorder="1" applyAlignment="1">
      <alignment horizontal="center" wrapText="1"/>
    </xf>
    <xf numFmtId="4" fontId="4" fillId="0" borderId="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5" xfId="12" applyNumberFormat="1" applyFont="1" applyFill="1" applyBorder="1" applyAlignment="1">
      <alignment horizontal="center"/>
    </xf>
    <xf numFmtId="0" fontId="4" fillId="0" borderId="1" xfId="7" applyFont="1" applyFill="1" applyBorder="1" applyAlignment="1">
      <alignment horizontal="center" wrapText="1"/>
    </xf>
    <xf numFmtId="2" fontId="2" fillId="0" borderId="2" xfId="0" applyNumberFormat="1" applyFont="1" applyFill="1" applyBorder="1" applyAlignment="1">
      <alignment horizontal="center" wrapText="1"/>
    </xf>
    <xf numFmtId="0" fontId="4" fillId="0" borderId="1" xfId="30" applyFont="1" applyFill="1" applyBorder="1" applyAlignment="1">
      <alignment horizontal="left" wrapText="1"/>
    </xf>
    <xf numFmtId="0" fontId="4" fillId="0" borderId="1" xfId="4" applyFont="1" applyFill="1" applyBorder="1" applyAlignment="1">
      <alignment horizontal="left" wrapText="1"/>
    </xf>
    <xf numFmtId="0" fontId="4" fillId="0" borderId="1" xfId="4" applyFont="1" applyFill="1" applyBorder="1" applyAlignment="1">
      <alignment horizontal="center" wrapText="1"/>
    </xf>
    <xf numFmtId="4" fontId="4" fillId="0" borderId="2" xfId="4" applyNumberFormat="1" applyFont="1" applyFill="1" applyBorder="1" applyAlignment="1">
      <alignment horizontal="center"/>
    </xf>
    <xf numFmtId="0" fontId="4" fillId="0" borderId="1" xfId="5" applyFont="1" applyFill="1" applyBorder="1" applyAlignment="1">
      <alignment horizontal="left" wrapText="1"/>
    </xf>
    <xf numFmtId="0" fontId="4" fillId="0" borderId="1" xfId="0" applyFont="1" applyFill="1" applyBorder="1" applyAlignment="1">
      <alignment horizontal="left" vertical="center" wrapText="1"/>
    </xf>
    <xf numFmtId="4" fontId="7" fillId="0" borderId="2" xfId="4" applyNumberFormat="1" applyFont="1" applyFill="1" applyBorder="1" applyAlignment="1">
      <alignment horizontal="center"/>
    </xf>
    <xf numFmtId="0" fontId="7" fillId="0" borderId="1" xfId="5" applyFont="1" applyFill="1" applyBorder="1" applyAlignment="1">
      <alignment horizontal="left" wrapText="1"/>
    </xf>
    <xf numFmtId="0" fontId="7" fillId="0" borderId="1" xfId="0" applyFont="1" applyFill="1" applyBorder="1" applyAlignment="1">
      <alignment horizontal="left" vertical="center" wrapText="1"/>
    </xf>
    <xf numFmtId="2" fontId="4" fillId="0" borderId="2" xfId="2" applyNumberFormat="1" applyFont="1" applyFill="1" applyBorder="1" applyAlignment="1">
      <alignment horizontal="center" wrapText="1"/>
    </xf>
    <xf numFmtId="0" fontId="7" fillId="0" borderId="1" xfId="6" applyFont="1" applyFill="1" applyBorder="1" applyAlignment="1">
      <alignment horizontal="left" wrapText="1"/>
    </xf>
    <xf numFmtId="0" fontId="4" fillId="0" borderId="1" xfId="8" applyFont="1" applyFill="1" applyBorder="1" applyAlignment="1">
      <alignment horizontal="center" wrapText="1"/>
    </xf>
    <xf numFmtId="0" fontId="4" fillId="0" borderId="1" xfId="9" applyFont="1" applyFill="1" applyBorder="1" applyAlignment="1">
      <alignment horizontal="left" wrapText="1"/>
    </xf>
    <xf numFmtId="4" fontId="4" fillId="0" borderId="1" xfId="12" applyNumberFormat="1" applyFont="1" applyFill="1" applyBorder="1" applyAlignment="1">
      <alignment horizontal="left" wrapText="1"/>
    </xf>
    <xf numFmtId="0" fontId="7" fillId="0" borderId="1" xfId="11" applyFont="1" applyFill="1" applyBorder="1" applyAlignment="1">
      <alignment horizontal="left" wrapText="1"/>
    </xf>
    <xf numFmtId="4" fontId="7" fillId="0" borderId="2" xfId="0" applyNumberFormat="1" applyFont="1" applyFill="1" applyBorder="1" applyAlignment="1">
      <alignment horizontal="center" wrapText="1"/>
    </xf>
    <xf numFmtId="0" fontId="4" fillId="0" borderId="1" xfId="17" applyFont="1" applyFill="1" applyBorder="1" applyAlignment="1">
      <alignment horizontal="left" wrapText="1"/>
    </xf>
    <xf numFmtId="0" fontId="4" fillId="0" borderId="1" xfId="17" applyFont="1" applyFill="1" applyBorder="1" applyAlignment="1">
      <alignment horizontal="center" wrapText="1"/>
    </xf>
    <xf numFmtId="0" fontId="10" fillId="0" borderId="1" xfId="0" applyFont="1" applyFill="1" applyBorder="1" applyAlignment="1">
      <alignment horizontal="center"/>
    </xf>
    <xf numFmtId="0" fontId="4" fillId="0" borderId="1" xfId="20" applyFont="1" applyFill="1" applyBorder="1" applyAlignment="1">
      <alignment horizontal="center" wrapText="1"/>
    </xf>
    <xf numFmtId="0" fontId="4" fillId="0" borderId="1" xfId="35" applyFont="1" applyFill="1" applyBorder="1" applyAlignment="1">
      <alignment horizontal="left" wrapText="1"/>
    </xf>
    <xf numFmtId="0" fontId="4" fillId="0" borderId="1" xfId="35" applyFont="1" applyFill="1" applyBorder="1" applyAlignment="1">
      <alignment horizontal="center" wrapText="1"/>
    </xf>
    <xf numFmtId="4" fontId="4" fillId="0" borderId="2" xfId="2" applyNumberFormat="1" applyFont="1" applyFill="1" applyBorder="1" applyAlignment="1">
      <alignment horizontal="center"/>
    </xf>
    <xf numFmtId="0" fontId="4" fillId="0" borderId="4" xfId="0" applyFont="1" applyFill="1" applyBorder="1" applyAlignment="1">
      <alignment horizontal="left" wrapText="1"/>
    </xf>
    <xf numFmtId="0" fontId="4" fillId="0" borderId="4" xfId="0" applyFont="1" applyFill="1" applyBorder="1" applyAlignment="1">
      <alignment horizontal="center" wrapText="1"/>
    </xf>
    <xf numFmtId="0" fontId="4" fillId="0" borderId="1" xfId="11" applyFont="1" applyFill="1" applyBorder="1" applyAlignment="1">
      <alignment horizontal="center" wrapText="1"/>
    </xf>
    <xf numFmtId="0" fontId="4" fillId="0" borderId="1" xfId="21" applyFont="1" applyFill="1" applyBorder="1" applyAlignment="1">
      <alignment horizontal="center" wrapText="1"/>
    </xf>
    <xf numFmtId="0" fontId="4" fillId="0" borderId="1" xfId="23" applyFont="1" applyFill="1" applyBorder="1" applyAlignment="1">
      <alignment horizontal="left" wrapText="1"/>
    </xf>
    <xf numFmtId="49" fontId="4" fillId="0" borderId="5" xfId="0" applyNumberFormat="1" applyFont="1" applyFill="1" applyBorder="1" applyAlignment="1">
      <alignment horizontal="left" wrapText="1"/>
    </xf>
    <xf numFmtId="0" fontId="4" fillId="0" borderId="1" xfId="26" applyFont="1" applyFill="1" applyBorder="1" applyAlignment="1">
      <alignment horizontal="left" wrapText="1"/>
    </xf>
    <xf numFmtId="0" fontId="4" fillId="0" borderId="1" xfId="16" applyFont="1" applyFill="1" applyBorder="1" applyAlignment="1">
      <alignment horizontal="left" wrapText="1"/>
    </xf>
    <xf numFmtId="49" fontId="4" fillId="0" borderId="1" xfId="28" applyNumberFormat="1" applyFont="1" applyFill="1" applyBorder="1" applyAlignment="1">
      <alignment horizontal="left" wrapText="1"/>
    </xf>
    <xf numFmtId="0" fontId="4" fillId="0" borderId="1" xfId="28" applyFont="1" applyFill="1" applyBorder="1" applyAlignment="1">
      <alignment horizontal="left" wrapText="1"/>
    </xf>
    <xf numFmtId="0" fontId="4" fillId="0" borderId="1" xfId="28" applyFont="1" applyFill="1" applyBorder="1" applyAlignment="1">
      <alignment horizontal="center" wrapText="1"/>
    </xf>
    <xf numFmtId="0" fontId="4" fillId="0" borderId="1" xfId="6" applyFont="1" applyFill="1" applyBorder="1" applyAlignment="1">
      <alignment horizontal="center" wrapText="1"/>
    </xf>
    <xf numFmtId="0" fontId="4" fillId="0" borderId="1" xfId="6" applyFont="1" applyFill="1" applyBorder="1" applyAlignment="1">
      <alignment horizontal="center"/>
    </xf>
    <xf numFmtId="0" fontId="7" fillId="0" borderId="1" xfId="29" applyFont="1" applyFill="1" applyBorder="1" applyAlignment="1">
      <alignment horizontal="left" wrapText="1"/>
    </xf>
    <xf numFmtId="0" fontId="4" fillId="0" borderId="5" xfId="2" applyFont="1" applyFill="1" applyBorder="1" applyAlignment="1">
      <alignment horizontal="left" wrapText="1"/>
    </xf>
    <xf numFmtId="0" fontId="4" fillId="0" borderId="1" xfId="32" applyFont="1" applyFill="1" applyBorder="1" applyAlignment="1">
      <alignment horizontal="center" wrapText="1"/>
    </xf>
    <xf numFmtId="0" fontId="4" fillId="0" borderId="1" xfId="31" applyFont="1" applyFill="1" applyBorder="1" applyAlignment="1">
      <alignment horizontal="center" wrapText="1"/>
    </xf>
    <xf numFmtId="4" fontId="4" fillId="0" borderId="0" xfId="0" applyNumberFormat="1" applyFont="1" applyFill="1" applyAlignment="1">
      <alignment horizontal="center" wrapText="1"/>
    </xf>
    <xf numFmtId="0" fontId="4" fillId="0" borderId="2" xfId="0" applyFont="1" applyFill="1" applyBorder="1" applyAlignment="1">
      <alignment horizontal="center"/>
    </xf>
    <xf numFmtId="4"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4" fillId="0" borderId="1" xfId="13" applyFont="1" applyFill="1" applyBorder="1" applyAlignment="1">
      <alignment horizontal="left" wrapText="1"/>
    </xf>
    <xf numFmtId="0" fontId="4" fillId="0" borderId="1" xfId="13" applyFont="1" applyFill="1" applyBorder="1" applyAlignment="1">
      <alignment horizontal="center" wrapText="1"/>
    </xf>
    <xf numFmtId="0" fontId="4" fillId="0" borderId="1" xfId="21" applyFont="1" applyFill="1" applyBorder="1" applyAlignment="1">
      <alignment horizontal="left" wrapText="1"/>
    </xf>
    <xf numFmtId="4" fontId="4" fillId="0" borderId="1" xfId="3" applyNumberFormat="1" applyFont="1" applyFill="1" applyBorder="1" applyAlignment="1">
      <alignment horizontal="center" wrapText="1"/>
    </xf>
    <xf numFmtId="0" fontId="4" fillId="0" borderId="1" xfId="21" applyFont="1" applyFill="1" applyBorder="1" applyAlignment="1">
      <alignment horizontal="left"/>
    </xf>
    <xf numFmtId="0" fontId="4" fillId="0" borderId="1" xfId="12" applyFont="1" applyFill="1" applyBorder="1" applyAlignment="1">
      <alignment horizontal="left" wrapText="1"/>
    </xf>
    <xf numFmtId="0" fontId="7" fillId="0" borderId="1" xfId="14" applyFont="1" applyFill="1" applyBorder="1" applyAlignment="1">
      <alignment horizontal="left" wrapText="1"/>
    </xf>
    <xf numFmtId="0" fontId="2" fillId="0" borderId="0" xfId="0" applyFont="1" applyFill="1" applyAlignment="1">
      <alignment horizontal="center" vertical="center" wrapText="1"/>
    </xf>
    <xf numFmtId="0" fontId="91" fillId="0" borderId="0" xfId="0" applyFont="1" applyFill="1" applyAlignment="1">
      <alignment horizontal="center" vertical="center" wrapText="1"/>
    </xf>
    <xf numFmtId="0" fontId="4" fillId="0" borderId="0" xfId="0" applyFont="1" applyFill="1" applyAlignment="1">
      <alignment horizontal="center" vertical="center" wrapText="1"/>
    </xf>
    <xf numFmtId="49" fontId="4" fillId="0" borderId="1" xfId="4" applyNumberFormat="1" applyFont="1" applyFill="1" applyBorder="1" applyAlignment="1">
      <alignment horizontal="left"/>
    </xf>
    <xf numFmtId="0" fontId="4" fillId="0" borderId="1" xfId="4" applyFont="1" applyFill="1" applyBorder="1" applyAlignment="1">
      <alignment horizontal="left"/>
    </xf>
    <xf numFmtId="49" fontId="4" fillId="0" borderId="1" xfId="8" applyNumberFormat="1" applyFont="1" applyFill="1" applyBorder="1" applyAlignment="1">
      <alignment horizontal="left" wrapText="1"/>
    </xf>
    <xf numFmtId="49" fontId="4" fillId="0" borderId="1" xfId="17" applyNumberFormat="1" applyFont="1" applyFill="1" applyBorder="1" applyAlignment="1">
      <alignment horizontal="left" wrapText="1"/>
    </xf>
    <xf numFmtId="49" fontId="4" fillId="0" borderId="1" xfId="18" applyNumberFormat="1" applyFont="1" applyFill="1" applyBorder="1" applyAlignment="1">
      <alignment horizontal="left" wrapText="1"/>
    </xf>
    <xf numFmtId="49" fontId="4" fillId="0" borderId="4" xfId="0" applyNumberFormat="1" applyFont="1" applyFill="1" applyBorder="1" applyAlignment="1">
      <alignment horizontal="left" wrapText="1"/>
    </xf>
    <xf numFmtId="0" fontId="4" fillId="0" borderId="4" xfId="2" applyFont="1" applyFill="1" applyBorder="1" applyAlignment="1">
      <alignment horizontal="left" wrapText="1"/>
    </xf>
    <xf numFmtId="49" fontId="4" fillId="0" borderId="1" xfId="21" applyNumberFormat="1" applyFont="1" applyFill="1" applyBorder="1" applyAlignment="1">
      <alignment horizontal="left"/>
    </xf>
    <xf numFmtId="49" fontId="4" fillId="0" borderId="1" xfId="22" applyNumberFormat="1" applyFont="1" applyFill="1" applyBorder="1" applyAlignment="1">
      <alignment horizontal="left"/>
    </xf>
    <xf numFmtId="0" fontId="4" fillId="0" borderId="1" xfId="22" applyFont="1" applyFill="1" applyBorder="1" applyAlignment="1">
      <alignment horizontal="left"/>
    </xf>
    <xf numFmtId="49" fontId="4" fillId="0" borderId="1" xfId="19" applyNumberFormat="1" applyFont="1" applyFill="1" applyBorder="1" applyAlignment="1">
      <alignment horizontal="left" wrapText="1"/>
    </xf>
    <xf numFmtId="0" fontId="4" fillId="0" borderId="1" xfId="27" applyFont="1" applyFill="1" applyBorder="1" applyAlignment="1">
      <alignment horizontal="left" wrapText="1"/>
    </xf>
    <xf numFmtId="49" fontId="4" fillId="0" borderId="0" xfId="0" applyNumberFormat="1" applyFont="1" applyFill="1" applyAlignment="1">
      <alignment horizontal="left" wrapText="1"/>
    </xf>
    <xf numFmtId="0" fontId="2" fillId="0" borderId="1" xfId="0" applyFont="1" applyFill="1" applyBorder="1" applyAlignment="1">
      <alignment horizontal="center" wrapText="1"/>
    </xf>
    <xf numFmtId="4" fontId="2" fillId="0" borderId="1" xfId="1" applyNumberFormat="1" applyFont="1" applyFill="1" applyBorder="1" applyAlignment="1">
      <alignment horizontal="center" wrapText="1"/>
    </xf>
    <xf numFmtId="4" fontId="2" fillId="0" borderId="1" xfId="0" applyNumberFormat="1" applyFont="1" applyFill="1" applyBorder="1" applyAlignment="1">
      <alignment horizontal="center" wrapText="1"/>
    </xf>
    <xf numFmtId="49" fontId="4" fillId="0" borderId="1" xfId="0"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2" fontId="4" fillId="0" borderId="1" xfId="2" applyNumberFormat="1" applyFont="1" applyFill="1" applyBorder="1" applyAlignment="1">
      <alignment horizontal="center"/>
    </xf>
    <xf numFmtId="2" fontId="4" fillId="0" borderId="1" xfId="0" applyNumberFormat="1" applyFont="1" applyFill="1" applyBorder="1" applyAlignment="1">
      <alignment horizontal="center" wrapText="1"/>
    </xf>
    <xf numFmtId="0" fontId="4" fillId="0" borderId="1" xfId="2" applyFont="1" applyFill="1" applyBorder="1" applyAlignment="1">
      <alignment horizontal="left" wrapText="1"/>
    </xf>
    <xf numFmtId="4" fontId="4" fillId="0" borderId="1" xfId="2"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1" xfId="2" applyNumberFormat="1" applyFont="1" applyFill="1" applyBorder="1" applyAlignment="1">
      <alignment horizontal="center" wrapText="1"/>
    </xf>
    <xf numFmtId="49" fontId="4" fillId="0" borderId="1" xfId="2" applyNumberFormat="1" applyFont="1" applyFill="1" applyBorder="1" applyAlignment="1">
      <alignment horizontal="left" wrapText="1"/>
    </xf>
    <xf numFmtId="0" fontId="4" fillId="0" borderId="1" xfId="0" applyFont="1" applyFill="1" applyBorder="1" applyAlignment="1">
      <alignment horizontal="center"/>
    </xf>
    <xf numFmtId="0" fontId="4" fillId="0" borderId="1" xfId="2" applyFont="1" applyFill="1" applyBorder="1" applyAlignment="1">
      <alignment horizontal="center" wrapText="1"/>
    </xf>
    <xf numFmtId="4" fontId="4" fillId="0" borderId="2" xfId="0" applyNumberFormat="1" applyFont="1" applyFill="1" applyBorder="1" applyAlignment="1">
      <alignment horizontal="center" wrapText="1"/>
    </xf>
    <xf numFmtId="0" fontId="4" fillId="0" borderId="1" xfId="0" applyFont="1" applyFill="1" applyBorder="1" applyAlignment="1">
      <alignment horizontal="left"/>
    </xf>
    <xf numFmtId="49" fontId="4" fillId="0" borderId="1" xfId="0" applyNumberFormat="1" applyFont="1" applyFill="1" applyBorder="1" applyAlignment="1">
      <alignment horizontal="left"/>
    </xf>
    <xf numFmtId="0" fontId="4" fillId="0" borderId="1" xfId="25" applyFont="1" applyFill="1" applyBorder="1" applyAlignment="1">
      <alignment horizontal="center" wrapText="1"/>
    </xf>
    <xf numFmtId="0" fontId="4" fillId="0" borderId="2" xfId="0" applyFont="1" applyFill="1" applyBorder="1" applyAlignment="1">
      <alignment horizontal="center" wrapText="1"/>
    </xf>
    <xf numFmtId="0" fontId="4" fillId="0" borderId="0" xfId="0" applyFont="1" applyFill="1" applyAlignment="1">
      <alignment horizontal="center" wrapText="1"/>
    </xf>
    <xf numFmtId="164" fontId="4" fillId="0" borderId="1" xfId="0" applyNumberFormat="1" applyFont="1" applyFill="1" applyBorder="1" applyAlignment="1">
      <alignment horizontal="left" wrapText="1"/>
    </xf>
    <xf numFmtId="4" fontId="4" fillId="0" borderId="1" xfId="0" applyNumberFormat="1" applyFont="1" applyFill="1" applyBorder="1" applyAlignment="1">
      <alignment horizontal="left" wrapText="1"/>
    </xf>
    <xf numFmtId="0" fontId="4" fillId="0" borderId="1" xfId="11" applyFont="1" applyFill="1" applyBorder="1" applyAlignment="1">
      <alignment horizontal="left" wrapText="1"/>
    </xf>
    <xf numFmtId="0" fontId="4" fillId="0" borderId="3" xfId="0" applyFont="1" applyFill="1" applyBorder="1" applyAlignment="1">
      <alignment horizontal="left" wrapText="1"/>
    </xf>
    <xf numFmtId="0" fontId="7" fillId="0" borderId="1" xfId="0" applyFont="1" applyFill="1" applyBorder="1" applyAlignment="1">
      <alignment horizontal="left" wrapText="1"/>
    </xf>
    <xf numFmtId="0" fontId="7" fillId="0" borderId="1" xfId="0" applyFont="1" applyFill="1" applyBorder="1" applyAlignment="1">
      <alignment horizontal="center" wrapText="1"/>
    </xf>
    <xf numFmtId="0" fontId="4" fillId="0" borderId="1" xfId="6" applyFont="1" applyFill="1" applyBorder="1" applyAlignment="1">
      <alignment horizontal="left" wrapText="1"/>
    </xf>
    <xf numFmtId="49" fontId="7" fillId="0" borderId="1" xfId="0" applyNumberFormat="1" applyFont="1" applyFill="1" applyBorder="1" applyAlignment="1">
      <alignment horizontal="left" wrapText="1"/>
    </xf>
    <xf numFmtId="4" fontId="7" fillId="0" borderId="1" xfId="0" applyNumberFormat="1" applyFont="1" applyFill="1" applyBorder="1" applyAlignment="1">
      <alignment horizontal="center" wrapText="1"/>
    </xf>
    <xf numFmtId="0" fontId="4" fillId="0" borderId="1" xfId="22" applyFont="1" applyFill="1" applyBorder="1" applyAlignment="1">
      <alignment horizontal="center" wrapText="1"/>
    </xf>
    <xf numFmtId="0" fontId="11" fillId="0" borderId="1" xfId="0" applyFont="1" applyFill="1" applyBorder="1" applyAlignment="1">
      <alignment horizontal="center"/>
    </xf>
    <xf numFmtId="0" fontId="4" fillId="0" borderId="1" xfId="15" applyFont="1" applyFill="1" applyBorder="1" applyAlignment="1" applyProtection="1">
      <alignment horizontal="left" wrapText="1"/>
    </xf>
    <xf numFmtId="2" fontId="7" fillId="0" borderId="1" xfId="0" applyNumberFormat="1" applyFont="1" applyFill="1" applyBorder="1" applyAlignment="1">
      <alignment horizontal="center" wrapText="1"/>
    </xf>
    <xf numFmtId="49" fontId="4" fillId="0" borderId="1" xfId="7" applyNumberFormat="1" applyFont="1" applyFill="1" applyBorder="1" applyAlignment="1">
      <alignment horizontal="left" wrapText="1"/>
    </xf>
    <xf numFmtId="49" fontId="4" fillId="0" borderId="1" xfId="7" applyNumberFormat="1" applyFont="1" applyFill="1" applyBorder="1" applyAlignment="1">
      <alignment horizontal="center" wrapText="1"/>
    </xf>
    <xf numFmtId="0" fontId="7" fillId="0" borderId="1" xfId="0" applyFont="1" applyFill="1" applyBorder="1" applyAlignment="1">
      <alignment horizontal="left"/>
    </xf>
    <xf numFmtId="0" fontId="7" fillId="0" borderId="1" xfId="0" applyFont="1" applyFill="1" applyBorder="1" applyAlignment="1">
      <alignment horizontal="center"/>
    </xf>
    <xf numFmtId="0" fontId="4" fillId="0" borderId="1" xfId="16" applyFont="1" applyFill="1" applyBorder="1" applyAlignment="1">
      <alignment horizontal="center"/>
    </xf>
    <xf numFmtId="49" fontId="7" fillId="0" borderId="1" xfId="0" applyNumberFormat="1" applyFont="1" applyFill="1" applyBorder="1" applyAlignment="1">
      <alignment horizontal="left"/>
    </xf>
    <xf numFmtId="4" fontId="7" fillId="0" borderId="1" xfId="0" applyNumberFormat="1" applyFont="1" applyFill="1" applyBorder="1" applyAlignment="1">
      <alignment horizontal="center"/>
    </xf>
    <xf numFmtId="4" fontId="4" fillId="0" borderId="5" xfId="0" applyNumberFormat="1" applyFont="1" applyFill="1" applyBorder="1" applyAlignment="1">
      <alignment horizontal="center" wrapText="1"/>
    </xf>
    <xf numFmtId="0" fontId="4" fillId="0" borderId="0" xfId="0" applyFont="1" applyFill="1" applyAlignment="1">
      <alignment horizontal="left" wrapText="1"/>
    </xf>
    <xf numFmtId="49" fontId="4" fillId="0" borderId="1" xfId="6" applyNumberFormat="1" applyFont="1" applyFill="1" applyBorder="1" applyAlignment="1">
      <alignment horizontal="left" wrapText="1"/>
    </xf>
    <xf numFmtId="0" fontId="4" fillId="0" borderId="0" xfId="0" applyFont="1" applyFill="1" applyAlignment="1">
      <alignment wrapText="1"/>
    </xf>
    <xf numFmtId="0" fontId="4" fillId="0" borderId="0" xfId="0" applyFont="1" applyFill="1"/>
    <xf numFmtId="0" fontId="4" fillId="0" borderId="1" xfId="14" applyFont="1" applyFill="1" applyBorder="1" applyAlignment="1">
      <alignment horizontal="left"/>
    </xf>
    <xf numFmtId="0" fontId="4" fillId="0" borderId="1" xfId="14" applyFont="1" applyFill="1" applyBorder="1" applyAlignment="1">
      <alignment horizontal="left" wrapText="1"/>
    </xf>
    <xf numFmtId="0" fontId="7" fillId="0" borderId="1" xfId="20" applyFont="1" applyFill="1" applyBorder="1" applyAlignment="1">
      <alignment horizontal="center" wrapText="1"/>
    </xf>
    <xf numFmtId="0" fontId="7" fillId="0" borderId="1" xfId="6" applyFont="1" applyFill="1" applyBorder="1" applyAlignment="1">
      <alignment horizontal="left" vertical="center" wrapText="1"/>
    </xf>
    <xf numFmtId="49" fontId="4" fillId="0" borderId="1" xfId="14" applyNumberFormat="1" applyFont="1" applyFill="1" applyBorder="1" applyAlignment="1">
      <alignment horizontal="left"/>
    </xf>
    <xf numFmtId="0" fontId="4" fillId="0" borderId="1" xfId="14" applyFont="1" applyFill="1" applyBorder="1" applyAlignment="1">
      <alignment horizontal="center" wrapText="1"/>
    </xf>
    <xf numFmtId="0" fontId="4" fillId="0" borderId="1" xfId="0" applyFont="1" applyFill="1" applyBorder="1" applyAlignment="1">
      <alignment wrapText="1"/>
    </xf>
  </cellXfs>
  <cellStyles count="3506">
    <cellStyle name="20% - Accent1 2" xfId="215" xr:uid="{00000000-0005-0000-0000-000000000000}"/>
    <cellStyle name="20% - Accent1 2 10" xfId="370" xr:uid="{00000000-0005-0000-0000-000001000000}"/>
    <cellStyle name="20% - Accent1 2 10 2" xfId="371" xr:uid="{00000000-0005-0000-0000-000002000000}"/>
    <cellStyle name="20% - Accent1 2 11" xfId="372" xr:uid="{00000000-0005-0000-0000-000003000000}"/>
    <cellStyle name="20% - Accent1 2 11 2" xfId="373" xr:uid="{00000000-0005-0000-0000-000004000000}"/>
    <cellStyle name="20% - Accent1 2 12" xfId="374" xr:uid="{00000000-0005-0000-0000-000005000000}"/>
    <cellStyle name="20% - Accent1 2 12 2" xfId="375" xr:uid="{00000000-0005-0000-0000-000006000000}"/>
    <cellStyle name="20% - Accent1 2 13" xfId="376" xr:uid="{00000000-0005-0000-0000-000007000000}"/>
    <cellStyle name="20% - Accent1 2 13 2" xfId="377" xr:uid="{00000000-0005-0000-0000-000008000000}"/>
    <cellStyle name="20% - Accent1 2 14" xfId="378" xr:uid="{00000000-0005-0000-0000-000009000000}"/>
    <cellStyle name="20% - Accent1 2 14 2" xfId="379" xr:uid="{00000000-0005-0000-0000-00000A000000}"/>
    <cellStyle name="20% - Accent1 2 15" xfId="380" xr:uid="{00000000-0005-0000-0000-00000B000000}"/>
    <cellStyle name="20% - Accent1 2 15 2" xfId="381" xr:uid="{00000000-0005-0000-0000-00000C000000}"/>
    <cellStyle name="20% - Accent1 2 16" xfId="382" xr:uid="{00000000-0005-0000-0000-00000D000000}"/>
    <cellStyle name="20% - Accent1 2 16 2" xfId="383" xr:uid="{00000000-0005-0000-0000-00000E000000}"/>
    <cellStyle name="20% - Accent1 2 17" xfId="384" xr:uid="{00000000-0005-0000-0000-00000F000000}"/>
    <cellStyle name="20% - Accent1 2 17 2" xfId="385" xr:uid="{00000000-0005-0000-0000-000010000000}"/>
    <cellStyle name="20% - Accent1 2 18" xfId="2427" xr:uid="{00000000-0005-0000-0000-000011000000}"/>
    <cellStyle name="20% - Accent1 2 18 2" xfId="2816" xr:uid="{00000000-0005-0000-0000-000011000000}"/>
    <cellStyle name="20% - Accent1 2 19" xfId="2741" xr:uid="{00000000-0005-0000-0000-000000000000}"/>
    <cellStyle name="20% - Accent1 2 2" xfId="346" xr:uid="{00000000-0005-0000-0000-000012000000}"/>
    <cellStyle name="20% - Accent1 2 2 2" xfId="387" xr:uid="{00000000-0005-0000-0000-000013000000}"/>
    <cellStyle name="20% - Accent1 2 2 3" xfId="386" xr:uid="{00000000-0005-0000-0000-000014000000}"/>
    <cellStyle name="20% - Accent1 2 2 4" xfId="2766" xr:uid="{00000000-0005-0000-0000-000001000000}"/>
    <cellStyle name="20% - Accent1 2 2 5" xfId="2855" xr:uid="{00000000-0005-0000-0000-000018000000}"/>
    <cellStyle name="20% - Accent1 2 20" xfId="2856" xr:uid="{00000000-0005-0000-0000-000019000000}"/>
    <cellStyle name="20% - Accent1 2 21" xfId="3505" xr:uid="{00000000-0005-0000-0000-0000960B0000}"/>
    <cellStyle name="20% - Accent1 2 3" xfId="388" xr:uid="{00000000-0005-0000-0000-000015000000}"/>
    <cellStyle name="20% - Accent1 2 3 2" xfId="389" xr:uid="{00000000-0005-0000-0000-000016000000}"/>
    <cellStyle name="20% - Accent1 2 4" xfId="390" xr:uid="{00000000-0005-0000-0000-000017000000}"/>
    <cellStyle name="20% - Accent1 2 4 2" xfId="391" xr:uid="{00000000-0005-0000-0000-000018000000}"/>
    <cellStyle name="20% - Accent1 2 5" xfId="392" xr:uid="{00000000-0005-0000-0000-000019000000}"/>
    <cellStyle name="20% - Accent1 2 5 2" xfId="393" xr:uid="{00000000-0005-0000-0000-00001A000000}"/>
    <cellStyle name="20% - Accent1 2 6" xfId="394" xr:uid="{00000000-0005-0000-0000-00001B000000}"/>
    <cellStyle name="20% - Accent1 2 6 2" xfId="395" xr:uid="{00000000-0005-0000-0000-00001C000000}"/>
    <cellStyle name="20% - Accent1 2 7" xfId="396" xr:uid="{00000000-0005-0000-0000-00001D000000}"/>
    <cellStyle name="20% - Accent1 2 7 2" xfId="397" xr:uid="{00000000-0005-0000-0000-00001E000000}"/>
    <cellStyle name="20% - Accent1 2 8" xfId="398" xr:uid="{00000000-0005-0000-0000-00001F000000}"/>
    <cellStyle name="20% - Accent1 2 8 2" xfId="399" xr:uid="{00000000-0005-0000-0000-000020000000}"/>
    <cellStyle name="20% - Accent1 2 9" xfId="400" xr:uid="{00000000-0005-0000-0000-000021000000}"/>
    <cellStyle name="20% - Accent1 2 9 2" xfId="401" xr:uid="{00000000-0005-0000-0000-000022000000}"/>
    <cellStyle name="20% - Accent1 3 10" xfId="402" xr:uid="{00000000-0005-0000-0000-000023000000}"/>
    <cellStyle name="20% - Accent1 3 10 2" xfId="403" xr:uid="{00000000-0005-0000-0000-000024000000}"/>
    <cellStyle name="20% - Accent1 3 11" xfId="404" xr:uid="{00000000-0005-0000-0000-000025000000}"/>
    <cellStyle name="20% - Accent1 3 11 2" xfId="405" xr:uid="{00000000-0005-0000-0000-000026000000}"/>
    <cellStyle name="20% - Accent1 3 12" xfId="406" xr:uid="{00000000-0005-0000-0000-000027000000}"/>
    <cellStyle name="20% - Accent1 3 12 2" xfId="407" xr:uid="{00000000-0005-0000-0000-000028000000}"/>
    <cellStyle name="20% - Accent1 3 13" xfId="408" xr:uid="{00000000-0005-0000-0000-000029000000}"/>
    <cellStyle name="20% - Accent1 3 13 2" xfId="409" xr:uid="{00000000-0005-0000-0000-00002A000000}"/>
    <cellStyle name="20% - Accent1 3 14" xfId="410" xr:uid="{00000000-0005-0000-0000-00002B000000}"/>
    <cellStyle name="20% - Accent1 3 14 2" xfId="411" xr:uid="{00000000-0005-0000-0000-00002C000000}"/>
    <cellStyle name="20% - Accent1 3 15" xfId="412" xr:uid="{00000000-0005-0000-0000-00002D000000}"/>
    <cellStyle name="20% - Accent1 3 15 2" xfId="413" xr:uid="{00000000-0005-0000-0000-00002E000000}"/>
    <cellStyle name="20% - Accent1 3 16" xfId="414" xr:uid="{00000000-0005-0000-0000-00002F000000}"/>
    <cellStyle name="20% - Accent1 3 16 2" xfId="415" xr:uid="{00000000-0005-0000-0000-000030000000}"/>
    <cellStyle name="20% - Accent1 3 17" xfId="416" xr:uid="{00000000-0005-0000-0000-000031000000}"/>
    <cellStyle name="20% - Accent1 3 17 2" xfId="417" xr:uid="{00000000-0005-0000-0000-000032000000}"/>
    <cellStyle name="20% - Accent1 3 2" xfId="418" xr:uid="{00000000-0005-0000-0000-000033000000}"/>
    <cellStyle name="20% - Accent1 3 2 2" xfId="419" xr:uid="{00000000-0005-0000-0000-000034000000}"/>
    <cellStyle name="20% - Accent1 3 3" xfId="420" xr:uid="{00000000-0005-0000-0000-000035000000}"/>
    <cellStyle name="20% - Accent1 3 3 2" xfId="421" xr:uid="{00000000-0005-0000-0000-000036000000}"/>
    <cellStyle name="20% - Accent1 3 4" xfId="422" xr:uid="{00000000-0005-0000-0000-000037000000}"/>
    <cellStyle name="20% - Accent1 3 4 2" xfId="423" xr:uid="{00000000-0005-0000-0000-000038000000}"/>
    <cellStyle name="20% - Accent1 3 5" xfId="424" xr:uid="{00000000-0005-0000-0000-000039000000}"/>
    <cellStyle name="20% - Accent1 3 5 2" xfId="425" xr:uid="{00000000-0005-0000-0000-00003A000000}"/>
    <cellStyle name="20% - Accent1 3 6" xfId="426" xr:uid="{00000000-0005-0000-0000-00003B000000}"/>
    <cellStyle name="20% - Accent1 3 6 2" xfId="427" xr:uid="{00000000-0005-0000-0000-00003C000000}"/>
    <cellStyle name="20% - Accent1 3 7" xfId="428" xr:uid="{00000000-0005-0000-0000-00003D000000}"/>
    <cellStyle name="20% - Accent1 3 7 2" xfId="429" xr:uid="{00000000-0005-0000-0000-00003E000000}"/>
    <cellStyle name="20% - Accent1 3 8" xfId="430" xr:uid="{00000000-0005-0000-0000-00003F000000}"/>
    <cellStyle name="20% - Accent1 3 8 2" xfId="431" xr:uid="{00000000-0005-0000-0000-000040000000}"/>
    <cellStyle name="20% - Accent1 3 9" xfId="432" xr:uid="{00000000-0005-0000-0000-000041000000}"/>
    <cellStyle name="20% - Accent1 3 9 2" xfId="433" xr:uid="{00000000-0005-0000-0000-000042000000}"/>
    <cellStyle name="20% - Accent2 2" xfId="216" xr:uid="{00000000-0005-0000-0000-000043000000}"/>
    <cellStyle name="20% - Accent2 2 10" xfId="434" xr:uid="{00000000-0005-0000-0000-000044000000}"/>
    <cellStyle name="20% - Accent2 2 10 2" xfId="435" xr:uid="{00000000-0005-0000-0000-000045000000}"/>
    <cellStyle name="20% - Accent2 2 11" xfId="436" xr:uid="{00000000-0005-0000-0000-000046000000}"/>
    <cellStyle name="20% - Accent2 2 11 2" xfId="437" xr:uid="{00000000-0005-0000-0000-000047000000}"/>
    <cellStyle name="20% - Accent2 2 12" xfId="438" xr:uid="{00000000-0005-0000-0000-000048000000}"/>
    <cellStyle name="20% - Accent2 2 12 2" xfId="439" xr:uid="{00000000-0005-0000-0000-000049000000}"/>
    <cellStyle name="20% - Accent2 2 13" xfId="440" xr:uid="{00000000-0005-0000-0000-00004A000000}"/>
    <cellStyle name="20% - Accent2 2 13 2" xfId="441" xr:uid="{00000000-0005-0000-0000-00004B000000}"/>
    <cellStyle name="20% - Accent2 2 14" xfId="442" xr:uid="{00000000-0005-0000-0000-00004C000000}"/>
    <cellStyle name="20% - Accent2 2 14 2" xfId="443" xr:uid="{00000000-0005-0000-0000-00004D000000}"/>
    <cellStyle name="20% - Accent2 2 15" xfId="444" xr:uid="{00000000-0005-0000-0000-00004E000000}"/>
    <cellStyle name="20% - Accent2 2 15 2" xfId="445" xr:uid="{00000000-0005-0000-0000-00004F000000}"/>
    <cellStyle name="20% - Accent2 2 16" xfId="446" xr:uid="{00000000-0005-0000-0000-000050000000}"/>
    <cellStyle name="20% - Accent2 2 16 2" xfId="447" xr:uid="{00000000-0005-0000-0000-000051000000}"/>
    <cellStyle name="20% - Accent2 2 17" xfId="448" xr:uid="{00000000-0005-0000-0000-000052000000}"/>
    <cellStyle name="20% - Accent2 2 17 2" xfId="449" xr:uid="{00000000-0005-0000-0000-000053000000}"/>
    <cellStyle name="20% - Accent2 2 18" xfId="2428" xr:uid="{00000000-0005-0000-0000-000054000000}"/>
    <cellStyle name="20% - Accent2 2 18 2" xfId="2817" xr:uid="{00000000-0005-0000-0000-000054000000}"/>
    <cellStyle name="20% - Accent2 2 19" xfId="2742" xr:uid="{00000000-0005-0000-0000-000002000000}"/>
    <cellStyle name="20% - Accent2 2 2" xfId="347" xr:uid="{00000000-0005-0000-0000-000055000000}"/>
    <cellStyle name="20% - Accent2 2 2 2" xfId="451" xr:uid="{00000000-0005-0000-0000-000056000000}"/>
    <cellStyle name="20% - Accent2 2 2 3" xfId="450" xr:uid="{00000000-0005-0000-0000-000057000000}"/>
    <cellStyle name="20% - Accent2 2 2 4" xfId="2767" xr:uid="{00000000-0005-0000-0000-000003000000}"/>
    <cellStyle name="20% - Accent2 2 2 5" xfId="2857" xr:uid="{00000000-0005-0000-0000-000060000000}"/>
    <cellStyle name="20% - Accent2 2 20" xfId="2858" xr:uid="{00000000-0005-0000-0000-000061000000}"/>
    <cellStyle name="20% - Accent2 2 21" xfId="3504" xr:uid="{00000000-0005-0000-0000-0000970B0000}"/>
    <cellStyle name="20% - Accent2 2 3" xfId="452" xr:uid="{00000000-0005-0000-0000-000058000000}"/>
    <cellStyle name="20% - Accent2 2 3 2" xfId="453" xr:uid="{00000000-0005-0000-0000-000059000000}"/>
    <cellStyle name="20% - Accent2 2 4" xfId="454" xr:uid="{00000000-0005-0000-0000-00005A000000}"/>
    <cellStyle name="20% - Accent2 2 4 2" xfId="455" xr:uid="{00000000-0005-0000-0000-00005B000000}"/>
    <cellStyle name="20% - Accent2 2 5" xfId="456" xr:uid="{00000000-0005-0000-0000-00005C000000}"/>
    <cellStyle name="20% - Accent2 2 5 2" xfId="457" xr:uid="{00000000-0005-0000-0000-00005D000000}"/>
    <cellStyle name="20% - Accent2 2 6" xfId="458" xr:uid="{00000000-0005-0000-0000-00005E000000}"/>
    <cellStyle name="20% - Accent2 2 6 2" xfId="459" xr:uid="{00000000-0005-0000-0000-00005F000000}"/>
    <cellStyle name="20% - Accent2 2 7" xfId="460" xr:uid="{00000000-0005-0000-0000-000060000000}"/>
    <cellStyle name="20% - Accent2 2 7 2" xfId="461" xr:uid="{00000000-0005-0000-0000-000061000000}"/>
    <cellStyle name="20% - Accent2 2 8" xfId="462" xr:uid="{00000000-0005-0000-0000-000062000000}"/>
    <cellStyle name="20% - Accent2 2 8 2" xfId="463" xr:uid="{00000000-0005-0000-0000-000063000000}"/>
    <cellStyle name="20% - Accent2 2 9" xfId="464" xr:uid="{00000000-0005-0000-0000-000064000000}"/>
    <cellStyle name="20% - Accent2 2 9 2" xfId="465" xr:uid="{00000000-0005-0000-0000-000065000000}"/>
    <cellStyle name="20% - Accent2 3 10" xfId="466" xr:uid="{00000000-0005-0000-0000-000066000000}"/>
    <cellStyle name="20% - Accent2 3 10 2" xfId="467" xr:uid="{00000000-0005-0000-0000-000067000000}"/>
    <cellStyle name="20% - Accent2 3 11" xfId="468" xr:uid="{00000000-0005-0000-0000-000068000000}"/>
    <cellStyle name="20% - Accent2 3 11 2" xfId="469" xr:uid="{00000000-0005-0000-0000-000069000000}"/>
    <cellStyle name="20% - Accent2 3 12" xfId="470" xr:uid="{00000000-0005-0000-0000-00006A000000}"/>
    <cellStyle name="20% - Accent2 3 12 2" xfId="471" xr:uid="{00000000-0005-0000-0000-00006B000000}"/>
    <cellStyle name="20% - Accent2 3 13" xfId="472" xr:uid="{00000000-0005-0000-0000-00006C000000}"/>
    <cellStyle name="20% - Accent2 3 13 2" xfId="473" xr:uid="{00000000-0005-0000-0000-00006D000000}"/>
    <cellStyle name="20% - Accent2 3 14" xfId="474" xr:uid="{00000000-0005-0000-0000-00006E000000}"/>
    <cellStyle name="20% - Accent2 3 14 2" xfId="475" xr:uid="{00000000-0005-0000-0000-00006F000000}"/>
    <cellStyle name="20% - Accent2 3 15" xfId="476" xr:uid="{00000000-0005-0000-0000-000070000000}"/>
    <cellStyle name="20% - Accent2 3 15 2" xfId="477" xr:uid="{00000000-0005-0000-0000-000071000000}"/>
    <cellStyle name="20% - Accent2 3 16" xfId="478" xr:uid="{00000000-0005-0000-0000-000072000000}"/>
    <cellStyle name="20% - Accent2 3 16 2" xfId="479" xr:uid="{00000000-0005-0000-0000-000073000000}"/>
    <cellStyle name="20% - Accent2 3 17" xfId="480" xr:uid="{00000000-0005-0000-0000-000074000000}"/>
    <cellStyle name="20% - Accent2 3 17 2" xfId="481" xr:uid="{00000000-0005-0000-0000-000075000000}"/>
    <cellStyle name="20% - Accent2 3 2" xfId="482" xr:uid="{00000000-0005-0000-0000-000076000000}"/>
    <cellStyle name="20% - Accent2 3 2 2" xfId="483" xr:uid="{00000000-0005-0000-0000-000077000000}"/>
    <cellStyle name="20% - Accent2 3 3" xfId="484" xr:uid="{00000000-0005-0000-0000-000078000000}"/>
    <cellStyle name="20% - Accent2 3 3 2" xfId="485" xr:uid="{00000000-0005-0000-0000-000079000000}"/>
    <cellStyle name="20% - Accent2 3 4" xfId="486" xr:uid="{00000000-0005-0000-0000-00007A000000}"/>
    <cellStyle name="20% - Accent2 3 4 2" xfId="487" xr:uid="{00000000-0005-0000-0000-00007B000000}"/>
    <cellStyle name="20% - Accent2 3 5" xfId="488" xr:uid="{00000000-0005-0000-0000-00007C000000}"/>
    <cellStyle name="20% - Accent2 3 5 2" xfId="489" xr:uid="{00000000-0005-0000-0000-00007D000000}"/>
    <cellStyle name="20% - Accent2 3 6" xfId="490" xr:uid="{00000000-0005-0000-0000-00007E000000}"/>
    <cellStyle name="20% - Accent2 3 6 2" xfId="491" xr:uid="{00000000-0005-0000-0000-00007F000000}"/>
    <cellStyle name="20% - Accent2 3 7" xfId="492" xr:uid="{00000000-0005-0000-0000-000080000000}"/>
    <cellStyle name="20% - Accent2 3 7 2" xfId="493" xr:uid="{00000000-0005-0000-0000-000081000000}"/>
    <cellStyle name="20% - Accent2 3 8" xfId="494" xr:uid="{00000000-0005-0000-0000-000082000000}"/>
    <cellStyle name="20% - Accent2 3 8 2" xfId="495" xr:uid="{00000000-0005-0000-0000-000083000000}"/>
    <cellStyle name="20% - Accent2 3 9" xfId="496" xr:uid="{00000000-0005-0000-0000-000084000000}"/>
    <cellStyle name="20% - Accent2 3 9 2" xfId="497" xr:uid="{00000000-0005-0000-0000-000085000000}"/>
    <cellStyle name="20% - Accent3 2" xfId="217" xr:uid="{00000000-0005-0000-0000-000086000000}"/>
    <cellStyle name="20% - Accent3 2 10" xfId="498" xr:uid="{00000000-0005-0000-0000-000087000000}"/>
    <cellStyle name="20% - Accent3 2 10 2" xfId="499" xr:uid="{00000000-0005-0000-0000-000088000000}"/>
    <cellStyle name="20% - Accent3 2 11" xfId="500" xr:uid="{00000000-0005-0000-0000-000089000000}"/>
    <cellStyle name="20% - Accent3 2 11 2" xfId="501" xr:uid="{00000000-0005-0000-0000-00008A000000}"/>
    <cellStyle name="20% - Accent3 2 12" xfId="502" xr:uid="{00000000-0005-0000-0000-00008B000000}"/>
    <cellStyle name="20% - Accent3 2 12 2" xfId="503" xr:uid="{00000000-0005-0000-0000-00008C000000}"/>
    <cellStyle name="20% - Accent3 2 13" xfId="504" xr:uid="{00000000-0005-0000-0000-00008D000000}"/>
    <cellStyle name="20% - Accent3 2 13 2" xfId="505" xr:uid="{00000000-0005-0000-0000-00008E000000}"/>
    <cellStyle name="20% - Accent3 2 14" xfId="506" xr:uid="{00000000-0005-0000-0000-00008F000000}"/>
    <cellStyle name="20% - Accent3 2 14 2" xfId="507" xr:uid="{00000000-0005-0000-0000-000090000000}"/>
    <cellStyle name="20% - Accent3 2 15" xfId="508" xr:uid="{00000000-0005-0000-0000-000091000000}"/>
    <cellStyle name="20% - Accent3 2 15 2" xfId="509" xr:uid="{00000000-0005-0000-0000-000092000000}"/>
    <cellStyle name="20% - Accent3 2 16" xfId="510" xr:uid="{00000000-0005-0000-0000-000093000000}"/>
    <cellStyle name="20% - Accent3 2 16 2" xfId="511" xr:uid="{00000000-0005-0000-0000-000094000000}"/>
    <cellStyle name="20% - Accent3 2 17" xfId="512" xr:uid="{00000000-0005-0000-0000-000095000000}"/>
    <cellStyle name="20% - Accent3 2 17 2" xfId="513" xr:uid="{00000000-0005-0000-0000-000096000000}"/>
    <cellStyle name="20% - Accent3 2 18" xfId="2429" xr:uid="{00000000-0005-0000-0000-000097000000}"/>
    <cellStyle name="20% - Accent3 2 18 2" xfId="2818" xr:uid="{00000000-0005-0000-0000-000097000000}"/>
    <cellStyle name="20% - Accent3 2 19" xfId="2743" xr:uid="{00000000-0005-0000-0000-000004000000}"/>
    <cellStyle name="20% - Accent3 2 2" xfId="348" xr:uid="{00000000-0005-0000-0000-000098000000}"/>
    <cellStyle name="20% - Accent3 2 2 2" xfId="515" xr:uid="{00000000-0005-0000-0000-000099000000}"/>
    <cellStyle name="20% - Accent3 2 2 3" xfId="514" xr:uid="{00000000-0005-0000-0000-00009A000000}"/>
    <cellStyle name="20% - Accent3 2 2 4" xfId="2768" xr:uid="{00000000-0005-0000-0000-000005000000}"/>
    <cellStyle name="20% - Accent3 2 2 5" xfId="2859" xr:uid="{00000000-0005-0000-0000-0000A8000000}"/>
    <cellStyle name="20% - Accent3 2 20" xfId="2860" xr:uid="{00000000-0005-0000-0000-0000A9000000}"/>
    <cellStyle name="20% - Accent3 2 21" xfId="3503" xr:uid="{00000000-0005-0000-0000-0000980B0000}"/>
    <cellStyle name="20% - Accent3 2 3" xfId="516" xr:uid="{00000000-0005-0000-0000-00009B000000}"/>
    <cellStyle name="20% - Accent3 2 3 2" xfId="517" xr:uid="{00000000-0005-0000-0000-00009C000000}"/>
    <cellStyle name="20% - Accent3 2 4" xfId="518" xr:uid="{00000000-0005-0000-0000-00009D000000}"/>
    <cellStyle name="20% - Accent3 2 4 2" xfId="519" xr:uid="{00000000-0005-0000-0000-00009E000000}"/>
    <cellStyle name="20% - Accent3 2 5" xfId="520" xr:uid="{00000000-0005-0000-0000-00009F000000}"/>
    <cellStyle name="20% - Accent3 2 5 2" xfId="521" xr:uid="{00000000-0005-0000-0000-0000A0000000}"/>
    <cellStyle name="20% - Accent3 2 6" xfId="522" xr:uid="{00000000-0005-0000-0000-0000A1000000}"/>
    <cellStyle name="20% - Accent3 2 6 2" xfId="523" xr:uid="{00000000-0005-0000-0000-0000A2000000}"/>
    <cellStyle name="20% - Accent3 2 7" xfId="524" xr:uid="{00000000-0005-0000-0000-0000A3000000}"/>
    <cellStyle name="20% - Accent3 2 7 2" xfId="525" xr:uid="{00000000-0005-0000-0000-0000A4000000}"/>
    <cellStyle name="20% - Accent3 2 8" xfId="526" xr:uid="{00000000-0005-0000-0000-0000A5000000}"/>
    <cellStyle name="20% - Accent3 2 8 2" xfId="527" xr:uid="{00000000-0005-0000-0000-0000A6000000}"/>
    <cellStyle name="20% - Accent3 2 9" xfId="528" xr:uid="{00000000-0005-0000-0000-0000A7000000}"/>
    <cellStyle name="20% - Accent3 2 9 2" xfId="529" xr:uid="{00000000-0005-0000-0000-0000A8000000}"/>
    <cellStyle name="20% - Accent3 3 10" xfId="530" xr:uid="{00000000-0005-0000-0000-0000A9000000}"/>
    <cellStyle name="20% - Accent3 3 10 2" xfId="531" xr:uid="{00000000-0005-0000-0000-0000AA000000}"/>
    <cellStyle name="20% - Accent3 3 11" xfId="532" xr:uid="{00000000-0005-0000-0000-0000AB000000}"/>
    <cellStyle name="20% - Accent3 3 11 2" xfId="533" xr:uid="{00000000-0005-0000-0000-0000AC000000}"/>
    <cellStyle name="20% - Accent3 3 12" xfId="534" xr:uid="{00000000-0005-0000-0000-0000AD000000}"/>
    <cellStyle name="20% - Accent3 3 12 2" xfId="535" xr:uid="{00000000-0005-0000-0000-0000AE000000}"/>
    <cellStyle name="20% - Accent3 3 13" xfId="536" xr:uid="{00000000-0005-0000-0000-0000AF000000}"/>
    <cellStyle name="20% - Accent3 3 13 2" xfId="537" xr:uid="{00000000-0005-0000-0000-0000B0000000}"/>
    <cellStyle name="20% - Accent3 3 14" xfId="538" xr:uid="{00000000-0005-0000-0000-0000B1000000}"/>
    <cellStyle name="20% - Accent3 3 14 2" xfId="539" xr:uid="{00000000-0005-0000-0000-0000B2000000}"/>
    <cellStyle name="20% - Accent3 3 15" xfId="540" xr:uid="{00000000-0005-0000-0000-0000B3000000}"/>
    <cellStyle name="20% - Accent3 3 15 2" xfId="541" xr:uid="{00000000-0005-0000-0000-0000B4000000}"/>
    <cellStyle name="20% - Accent3 3 16" xfId="542" xr:uid="{00000000-0005-0000-0000-0000B5000000}"/>
    <cellStyle name="20% - Accent3 3 16 2" xfId="543" xr:uid="{00000000-0005-0000-0000-0000B6000000}"/>
    <cellStyle name="20% - Accent3 3 17" xfId="544" xr:uid="{00000000-0005-0000-0000-0000B7000000}"/>
    <cellStyle name="20% - Accent3 3 17 2" xfId="545" xr:uid="{00000000-0005-0000-0000-0000B8000000}"/>
    <cellStyle name="20% - Accent3 3 2" xfId="546" xr:uid="{00000000-0005-0000-0000-0000B9000000}"/>
    <cellStyle name="20% - Accent3 3 2 2" xfId="547" xr:uid="{00000000-0005-0000-0000-0000BA000000}"/>
    <cellStyle name="20% - Accent3 3 3" xfId="548" xr:uid="{00000000-0005-0000-0000-0000BB000000}"/>
    <cellStyle name="20% - Accent3 3 3 2" xfId="549" xr:uid="{00000000-0005-0000-0000-0000BC000000}"/>
    <cellStyle name="20% - Accent3 3 4" xfId="550" xr:uid="{00000000-0005-0000-0000-0000BD000000}"/>
    <cellStyle name="20% - Accent3 3 4 2" xfId="551" xr:uid="{00000000-0005-0000-0000-0000BE000000}"/>
    <cellStyle name="20% - Accent3 3 5" xfId="552" xr:uid="{00000000-0005-0000-0000-0000BF000000}"/>
    <cellStyle name="20% - Accent3 3 5 2" xfId="553" xr:uid="{00000000-0005-0000-0000-0000C0000000}"/>
    <cellStyle name="20% - Accent3 3 6" xfId="554" xr:uid="{00000000-0005-0000-0000-0000C1000000}"/>
    <cellStyle name="20% - Accent3 3 6 2" xfId="555" xr:uid="{00000000-0005-0000-0000-0000C2000000}"/>
    <cellStyle name="20% - Accent3 3 7" xfId="556" xr:uid="{00000000-0005-0000-0000-0000C3000000}"/>
    <cellStyle name="20% - Accent3 3 7 2" xfId="557" xr:uid="{00000000-0005-0000-0000-0000C4000000}"/>
    <cellStyle name="20% - Accent3 3 8" xfId="558" xr:uid="{00000000-0005-0000-0000-0000C5000000}"/>
    <cellStyle name="20% - Accent3 3 8 2" xfId="559" xr:uid="{00000000-0005-0000-0000-0000C6000000}"/>
    <cellStyle name="20% - Accent3 3 9" xfId="560" xr:uid="{00000000-0005-0000-0000-0000C7000000}"/>
    <cellStyle name="20% - Accent3 3 9 2" xfId="561" xr:uid="{00000000-0005-0000-0000-0000C8000000}"/>
    <cellStyle name="20% - Accent4 2" xfId="218" xr:uid="{00000000-0005-0000-0000-0000C9000000}"/>
    <cellStyle name="20% - Accent4 2 10" xfId="562" xr:uid="{00000000-0005-0000-0000-0000CA000000}"/>
    <cellStyle name="20% - Accent4 2 10 2" xfId="563" xr:uid="{00000000-0005-0000-0000-0000CB000000}"/>
    <cellStyle name="20% - Accent4 2 11" xfId="564" xr:uid="{00000000-0005-0000-0000-0000CC000000}"/>
    <cellStyle name="20% - Accent4 2 11 2" xfId="565" xr:uid="{00000000-0005-0000-0000-0000CD000000}"/>
    <cellStyle name="20% - Accent4 2 12" xfId="566" xr:uid="{00000000-0005-0000-0000-0000CE000000}"/>
    <cellStyle name="20% - Accent4 2 12 2" xfId="567" xr:uid="{00000000-0005-0000-0000-0000CF000000}"/>
    <cellStyle name="20% - Accent4 2 13" xfId="568" xr:uid="{00000000-0005-0000-0000-0000D0000000}"/>
    <cellStyle name="20% - Accent4 2 13 2" xfId="569" xr:uid="{00000000-0005-0000-0000-0000D1000000}"/>
    <cellStyle name="20% - Accent4 2 14" xfId="570" xr:uid="{00000000-0005-0000-0000-0000D2000000}"/>
    <cellStyle name="20% - Accent4 2 14 2" xfId="571" xr:uid="{00000000-0005-0000-0000-0000D3000000}"/>
    <cellStyle name="20% - Accent4 2 15" xfId="572" xr:uid="{00000000-0005-0000-0000-0000D4000000}"/>
    <cellStyle name="20% - Accent4 2 15 2" xfId="573" xr:uid="{00000000-0005-0000-0000-0000D5000000}"/>
    <cellStyle name="20% - Accent4 2 16" xfId="574" xr:uid="{00000000-0005-0000-0000-0000D6000000}"/>
    <cellStyle name="20% - Accent4 2 16 2" xfId="575" xr:uid="{00000000-0005-0000-0000-0000D7000000}"/>
    <cellStyle name="20% - Accent4 2 17" xfId="576" xr:uid="{00000000-0005-0000-0000-0000D8000000}"/>
    <cellStyle name="20% - Accent4 2 17 2" xfId="577" xr:uid="{00000000-0005-0000-0000-0000D9000000}"/>
    <cellStyle name="20% - Accent4 2 18" xfId="2430" xr:uid="{00000000-0005-0000-0000-0000DA000000}"/>
    <cellStyle name="20% - Accent4 2 18 2" xfId="2819" xr:uid="{00000000-0005-0000-0000-0000DA000000}"/>
    <cellStyle name="20% - Accent4 2 19" xfId="2744" xr:uid="{00000000-0005-0000-0000-000006000000}"/>
    <cellStyle name="20% - Accent4 2 2" xfId="349" xr:uid="{00000000-0005-0000-0000-0000DB000000}"/>
    <cellStyle name="20% - Accent4 2 2 2" xfId="579" xr:uid="{00000000-0005-0000-0000-0000DC000000}"/>
    <cellStyle name="20% - Accent4 2 2 3" xfId="578" xr:uid="{00000000-0005-0000-0000-0000DD000000}"/>
    <cellStyle name="20% - Accent4 2 2 4" xfId="2769" xr:uid="{00000000-0005-0000-0000-000007000000}"/>
    <cellStyle name="20% - Accent4 2 2 5" xfId="2861" xr:uid="{00000000-0005-0000-0000-0000F0000000}"/>
    <cellStyle name="20% - Accent4 2 20" xfId="2862" xr:uid="{00000000-0005-0000-0000-0000F1000000}"/>
    <cellStyle name="20% - Accent4 2 21" xfId="3502" xr:uid="{00000000-0005-0000-0000-0000990B0000}"/>
    <cellStyle name="20% - Accent4 2 3" xfId="580" xr:uid="{00000000-0005-0000-0000-0000DE000000}"/>
    <cellStyle name="20% - Accent4 2 3 2" xfId="581" xr:uid="{00000000-0005-0000-0000-0000DF000000}"/>
    <cellStyle name="20% - Accent4 2 4" xfId="582" xr:uid="{00000000-0005-0000-0000-0000E0000000}"/>
    <cellStyle name="20% - Accent4 2 4 2" xfId="583" xr:uid="{00000000-0005-0000-0000-0000E1000000}"/>
    <cellStyle name="20% - Accent4 2 5" xfId="584" xr:uid="{00000000-0005-0000-0000-0000E2000000}"/>
    <cellStyle name="20% - Accent4 2 5 2" xfId="585" xr:uid="{00000000-0005-0000-0000-0000E3000000}"/>
    <cellStyle name="20% - Accent4 2 6" xfId="586" xr:uid="{00000000-0005-0000-0000-0000E4000000}"/>
    <cellStyle name="20% - Accent4 2 6 2" xfId="587" xr:uid="{00000000-0005-0000-0000-0000E5000000}"/>
    <cellStyle name="20% - Accent4 2 7" xfId="588" xr:uid="{00000000-0005-0000-0000-0000E6000000}"/>
    <cellStyle name="20% - Accent4 2 7 2" xfId="589" xr:uid="{00000000-0005-0000-0000-0000E7000000}"/>
    <cellStyle name="20% - Accent4 2 8" xfId="590" xr:uid="{00000000-0005-0000-0000-0000E8000000}"/>
    <cellStyle name="20% - Accent4 2 8 2" xfId="591" xr:uid="{00000000-0005-0000-0000-0000E9000000}"/>
    <cellStyle name="20% - Accent4 2 9" xfId="592" xr:uid="{00000000-0005-0000-0000-0000EA000000}"/>
    <cellStyle name="20% - Accent4 2 9 2" xfId="593" xr:uid="{00000000-0005-0000-0000-0000EB000000}"/>
    <cellStyle name="20% - Accent4 3 10" xfId="594" xr:uid="{00000000-0005-0000-0000-0000EC000000}"/>
    <cellStyle name="20% - Accent4 3 10 2" xfId="595" xr:uid="{00000000-0005-0000-0000-0000ED000000}"/>
    <cellStyle name="20% - Accent4 3 11" xfId="596" xr:uid="{00000000-0005-0000-0000-0000EE000000}"/>
    <cellStyle name="20% - Accent4 3 11 2" xfId="597" xr:uid="{00000000-0005-0000-0000-0000EF000000}"/>
    <cellStyle name="20% - Accent4 3 12" xfId="598" xr:uid="{00000000-0005-0000-0000-0000F0000000}"/>
    <cellStyle name="20% - Accent4 3 12 2" xfId="599" xr:uid="{00000000-0005-0000-0000-0000F1000000}"/>
    <cellStyle name="20% - Accent4 3 13" xfId="600" xr:uid="{00000000-0005-0000-0000-0000F2000000}"/>
    <cellStyle name="20% - Accent4 3 13 2" xfId="601" xr:uid="{00000000-0005-0000-0000-0000F3000000}"/>
    <cellStyle name="20% - Accent4 3 14" xfId="602" xr:uid="{00000000-0005-0000-0000-0000F4000000}"/>
    <cellStyle name="20% - Accent4 3 14 2" xfId="603" xr:uid="{00000000-0005-0000-0000-0000F5000000}"/>
    <cellStyle name="20% - Accent4 3 15" xfId="604" xr:uid="{00000000-0005-0000-0000-0000F6000000}"/>
    <cellStyle name="20% - Accent4 3 15 2" xfId="605" xr:uid="{00000000-0005-0000-0000-0000F7000000}"/>
    <cellStyle name="20% - Accent4 3 16" xfId="606" xr:uid="{00000000-0005-0000-0000-0000F8000000}"/>
    <cellStyle name="20% - Accent4 3 16 2" xfId="607" xr:uid="{00000000-0005-0000-0000-0000F9000000}"/>
    <cellStyle name="20% - Accent4 3 17" xfId="608" xr:uid="{00000000-0005-0000-0000-0000FA000000}"/>
    <cellStyle name="20% - Accent4 3 17 2" xfId="609" xr:uid="{00000000-0005-0000-0000-0000FB000000}"/>
    <cellStyle name="20% - Accent4 3 2" xfId="610" xr:uid="{00000000-0005-0000-0000-0000FC000000}"/>
    <cellStyle name="20% - Accent4 3 2 2" xfId="611" xr:uid="{00000000-0005-0000-0000-0000FD000000}"/>
    <cellStyle name="20% - Accent4 3 3" xfId="612" xr:uid="{00000000-0005-0000-0000-0000FE000000}"/>
    <cellStyle name="20% - Accent4 3 3 2" xfId="613" xr:uid="{00000000-0005-0000-0000-0000FF000000}"/>
    <cellStyle name="20% - Accent4 3 4" xfId="614" xr:uid="{00000000-0005-0000-0000-000000010000}"/>
    <cellStyle name="20% - Accent4 3 4 2" xfId="615" xr:uid="{00000000-0005-0000-0000-000001010000}"/>
    <cellStyle name="20% - Accent4 3 5" xfId="616" xr:uid="{00000000-0005-0000-0000-000002010000}"/>
    <cellStyle name="20% - Accent4 3 5 2" xfId="617" xr:uid="{00000000-0005-0000-0000-000003010000}"/>
    <cellStyle name="20% - Accent4 3 6" xfId="618" xr:uid="{00000000-0005-0000-0000-000004010000}"/>
    <cellStyle name="20% - Accent4 3 6 2" xfId="619" xr:uid="{00000000-0005-0000-0000-000005010000}"/>
    <cellStyle name="20% - Accent4 3 7" xfId="620" xr:uid="{00000000-0005-0000-0000-000006010000}"/>
    <cellStyle name="20% - Accent4 3 7 2" xfId="621" xr:uid="{00000000-0005-0000-0000-000007010000}"/>
    <cellStyle name="20% - Accent4 3 8" xfId="622" xr:uid="{00000000-0005-0000-0000-000008010000}"/>
    <cellStyle name="20% - Accent4 3 8 2" xfId="623" xr:uid="{00000000-0005-0000-0000-000009010000}"/>
    <cellStyle name="20% - Accent4 3 9" xfId="624" xr:uid="{00000000-0005-0000-0000-00000A010000}"/>
    <cellStyle name="20% - Accent4 3 9 2" xfId="625" xr:uid="{00000000-0005-0000-0000-00000B010000}"/>
    <cellStyle name="20% - Accent5 2" xfId="219" xr:uid="{00000000-0005-0000-0000-00000C010000}"/>
    <cellStyle name="20% - Accent5 2 10" xfId="626" xr:uid="{00000000-0005-0000-0000-00000D010000}"/>
    <cellStyle name="20% - Accent5 2 10 2" xfId="627" xr:uid="{00000000-0005-0000-0000-00000E010000}"/>
    <cellStyle name="20% - Accent5 2 11" xfId="628" xr:uid="{00000000-0005-0000-0000-00000F010000}"/>
    <cellStyle name="20% - Accent5 2 11 2" xfId="629" xr:uid="{00000000-0005-0000-0000-000010010000}"/>
    <cellStyle name="20% - Accent5 2 12" xfId="630" xr:uid="{00000000-0005-0000-0000-000011010000}"/>
    <cellStyle name="20% - Accent5 2 12 2" xfId="631" xr:uid="{00000000-0005-0000-0000-000012010000}"/>
    <cellStyle name="20% - Accent5 2 13" xfId="632" xr:uid="{00000000-0005-0000-0000-000013010000}"/>
    <cellStyle name="20% - Accent5 2 13 2" xfId="633" xr:uid="{00000000-0005-0000-0000-000014010000}"/>
    <cellStyle name="20% - Accent5 2 14" xfId="634" xr:uid="{00000000-0005-0000-0000-000015010000}"/>
    <cellStyle name="20% - Accent5 2 14 2" xfId="635" xr:uid="{00000000-0005-0000-0000-000016010000}"/>
    <cellStyle name="20% - Accent5 2 15" xfId="636" xr:uid="{00000000-0005-0000-0000-000017010000}"/>
    <cellStyle name="20% - Accent5 2 15 2" xfId="637" xr:uid="{00000000-0005-0000-0000-000018010000}"/>
    <cellStyle name="20% - Accent5 2 16" xfId="638" xr:uid="{00000000-0005-0000-0000-000019010000}"/>
    <cellStyle name="20% - Accent5 2 16 2" xfId="639" xr:uid="{00000000-0005-0000-0000-00001A010000}"/>
    <cellStyle name="20% - Accent5 2 17" xfId="640" xr:uid="{00000000-0005-0000-0000-00001B010000}"/>
    <cellStyle name="20% - Accent5 2 17 2" xfId="641" xr:uid="{00000000-0005-0000-0000-00001C010000}"/>
    <cellStyle name="20% - Accent5 2 18" xfId="2431" xr:uid="{00000000-0005-0000-0000-00001D010000}"/>
    <cellStyle name="20% - Accent5 2 18 2" xfId="2820" xr:uid="{00000000-0005-0000-0000-00001D010000}"/>
    <cellStyle name="20% - Accent5 2 19" xfId="2745" xr:uid="{00000000-0005-0000-0000-000008000000}"/>
    <cellStyle name="20% - Accent5 2 2" xfId="350" xr:uid="{00000000-0005-0000-0000-00001E010000}"/>
    <cellStyle name="20% - Accent5 2 2 2" xfId="643" xr:uid="{00000000-0005-0000-0000-00001F010000}"/>
    <cellStyle name="20% - Accent5 2 2 3" xfId="642" xr:uid="{00000000-0005-0000-0000-000020010000}"/>
    <cellStyle name="20% - Accent5 2 2 4" xfId="2770" xr:uid="{00000000-0005-0000-0000-000009000000}"/>
    <cellStyle name="20% - Accent5 2 2 5" xfId="2863" xr:uid="{00000000-0005-0000-0000-000038010000}"/>
    <cellStyle name="20% - Accent5 2 20" xfId="2864" xr:uid="{00000000-0005-0000-0000-000039010000}"/>
    <cellStyle name="20% - Accent5 2 21" xfId="3501" xr:uid="{00000000-0005-0000-0000-00009A0B0000}"/>
    <cellStyle name="20% - Accent5 2 3" xfId="644" xr:uid="{00000000-0005-0000-0000-000021010000}"/>
    <cellStyle name="20% - Accent5 2 3 2" xfId="645" xr:uid="{00000000-0005-0000-0000-000022010000}"/>
    <cellStyle name="20% - Accent5 2 4" xfId="646" xr:uid="{00000000-0005-0000-0000-000023010000}"/>
    <cellStyle name="20% - Accent5 2 4 2" xfId="647" xr:uid="{00000000-0005-0000-0000-000024010000}"/>
    <cellStyle name="20% - Accent5 2 5" xfId="648" xr:uid="{00000000-0005-0000-0000-000025010000}"/>
    <cellStyle name="20% - Accent5 2 5 2" xfId="649" xr:uid="{00000000-0005-0000-0000-000026010000}"/>
    <cellStyle name="20% - Accent5 2 6" xfId="650" xr:uid="{00000000-0005-0000-0000-000027010000}"/>
    <cellStyle name="20% - Accent5 2 6 2" xfId="651" xr:uid="{00000000-0005-0000-0000-000028010000}"/>
    <cellStyle name="20% - Accent5 2 7" xfId="652" xr:uid="{00000000-0005-0000-0000-000029010000}"/>
    <cellStyle name="20% - Accent5 2 7 2" xfId="653" xr:uid="{00000000-0005-0000-0000-00002A010000}"/>
    <cellStyle name="20% - Accent5 2 8" xfId="654" xr:uid="{00000000-0005-0000-0000-00002B010000}"/>
    <cellStyle name="20% - Accent5 2 8 2" xfId="655" xr:uid="{00000000-0005-0000-0000-00002C010000}"/>
    <cellStyle name="20% - Accent5 2 9" xfId="656" xr:uid="{00000000-0005-0000-0000-00002D010000}"/>
    <cellStyle name="20% - Accent5 2 9 2" xfId="657" xr:uid="{00000000-0005-0000-0000-00002E010000}"/>
    <cellStyle name="20% - Accent5 3 10" xfId="658" xr:uid="{00000000-0005-0000-0000-00002F010000}"/>
    <cellStyle name="20% - Accent5 3 10 2" xfId="659" xr:uid="{00000000-0005-0000-0000-000030010000}"/>
    <cellStyle name="20% - Accent5 3 11" xfId="660" xr:uid="{00000000-0005-0000-0000-000031010000}"/>
    <cellStyle name="20% - Accent5 3 11 2" xfId="661" xr:uid="{00000000-0005-0000-0000-000032010000}"/>
    <cellStyle name="20% - Accent5 3 12" xfId="662" xr:uid="{00000000-0005-0000-0000-000033010000}"/>
    <cellStyle name="20% - Accent5 3 12 2" xfId="663" xr:uid="{00000000-0005-0000-0000-000034010000}"/>
    <cellStyle name="20% - Accent5 3 13" xfId="664" xr:uid="{00000000-0005-0000-0000-000035010000}"/>
    <cellStyle name="20% - Accent5 3 13 2" xfId="665" xr:uid="{00000000-0005-0000-0000-000036010000}"/>
    <cellStyle name="20% - Accent5 3 14" xfId="666" xr:uid="{00000000-0005-0000-0000-000037010000}"/>
    <cellStyle name="20% - Accent5 3 14 2" xfId="667" xr:uid="{00000000-0005-0000-0000-000038010000}"/>
    <cellStyle name="20% - Accent5 3 15" xfId="668" xr:uid="{00000000-0005-0000-0000-000039010000}"/>
    <cellStyle name="20% - Accent5 3 15 2" xfId="669" xr:uid="{00000000-0005-0000-0000-00003A010000}"/>
    <cellStyle name="20% - Accent5 3 16" xfId="670" xr:uid="{00000000-0005-0000-0000-00003B010000}"/>
    <cellStyle name="20% - Accent5 3 16 2" xfId="671" xr:uid="{00000000-0005-0000-0000-00003C010000}"/>
    <cellStyle name="20% - Accent5 3 17" xfId="672" xr:uid="{00000000-0005-0000-0000-00003D010000}"/>
    <cellStyle name="20% - Accent5 3 17 2" xfId="673" xr:uid="{00000000-0005-0000-0000-00003E010000}"/>
    <cellStyle name="20% - Accent5 3 2" xfId="674" xr:uid="{00000000-0005-0000-0000-00003F010000}"/>
    <cellStyle name="20% - Accent5 3 2 2" xfId="675" xr:uid="{00000000-0005-0000-0000-000040010000}"/>
    <cellStyle name="20% - Accent5 3 3" xfId="676" xr:uid="{00000000-0005-0000-0000-000041010000}"/>
    <cellStyle name="20% - Accent5 3 3 2" xfId="677" xr:uid="{00000000-0005-0000-0000-000042010000}"/>
    <cellStyle name="20% - Accent5 3 4" xfId="678" xr:uid="{00000000-0005-0000-0000-000043010000}"/>
    <cellStyle name="20% - Accent5 3 4 2" xfId="679" xr:uid="{00000000-0005-0000-0000-000044010000}"/>
    <cellStyle name="20% - Accent5 3 5" xfId="680" xr:uid="{00000000-0005-0000-0000-000045010000}"/>
    <cellStyle name="20% - Accent5 3 5 2" xfId="681" xr:uid="{00000000-0005-0000-0000-000046010000}"/>
    <cellStyle name="20% - Accent5 3 6" xfId="682" xr:uid="{00000000-0005-0000-0000-000047010000}"/>
    <cellStyle name="20% - Accent5 3 6 2" xfId="683" xr:uid="{00000000-0005-0000-0000-000048010000}"/>
    <cellStyle name="20% - Accent5 3 7" xfId="684" xr:uid="{00000000-0005-0000-0000-000049010000}"/>
    <cellStyle name="20% - Accent5 3 7 2" xfId="685" xr:uid="{00000000-0005-0000-0000-00004A010000}"/>
    <cellStyle name="20% - Accent5 3 8" xfId="686" xr:uid="{00000000-0005-0000-0000-00004B010000}"/>
    <cellStyle name="20% - Accent5 3 8 2" xfId="687" xr:uid="{00000000-0005-0000-0000-00004C010000}"/>
    <cellStyle name="20% - Accent5 3 9" xfId="688" xr:uid="{00000000-0005-0000-0000-00004D010000}"/>
    <cellStyle name="20% - Accent5 3 9 2" xfId="689" xr:uid="{00000000-0005-0000-0000-00004E010000}"/>
    <cellStyle name="20% - Accent6 2" xfId="220" xr:uid="{00000000-0005-0000-0000-00004F010000}"/>
    <cellStyle name="20% - Accent6 2 10" xfId="690" xr:uid="{00000000-0005-0000-0000-000050010000}"/>
    <cellStyle name="20% - Accent6 2 10 2" xfId="691" xr:uid="{00000000-0005-0000-0000-000051010000}"/>
    <cellStyle name="20% - Accent6 2 11" xfId="692" xr:uid="{00000000-0005-0000-0000-000052010000}"/>
    <cellStyle name="20% - Accent6 2 11 2" xfId="693" xr:uid="{00000000-0005-0000-0000-000053010000}"/>
    <cellStyle name="20% - Accent6 2 12" xfId="694" xr:uid="{00000000-0005-0000-0000-000054010000}"/>
    <cellStyle name="20% - Accent6 2 12 2" xfId="695" xr:uid="{00000000-0005-0000-0000-000055010000}"/>
    <cellStyle name="20% - Accent6 2 13" xfId="696" xr:uid="{00000000-0005-0000-0000-000056010000}"/>
    <cellStyle name="20% - Accent6 2 13 2" xfId="697" xr:uid="{00000000-0005-0000-0000-000057010000}"/>
    <cellStyle name="20% - Accent6 2 14" xfId="698" xr:uid="{00000000-0005-0000-0000-000058010000}"/>
    <cellStyle name="20% - Accent6 2 14 2" xfId="699" xr:uid="{00000000-0005-0000-0000-000059010000}"/>
    <cellStyle name="20% - Accent6 2 15" xfId="700" xr:uid="{00000000-0005-0000-0000-00005A010000}"/>
    <cellStyle name="20% - Accent6 2 15 2" xfId="701" xr:uid="{00000000-0005-0000-0000-00005B010000}"/>
    <cellStyle name="20% - Accent6 2 16" xfId="702" xr:uid="{00000000-0005-0000-0000-00005C010000}"/>
    <cellStyle name="20% - Accent6 2 16 2" xfId="703" xr:uid="{00000000-0005-0000-0000-00005D010000}"/>
    <cellStyle name="20% - Accent6 2 17" xfId="704" xr:uid="{00000000-0005-0000-0000-00005E010000}"/>
    <cellStyle name="20% - Accent6 2 17 2" xfId="705" xr:uid="{00000000-0005-0000-0000-00005F010000}"/>
    <cellStyle name="20% - Accent6 2 18" xfId="2432" xr:uid="{00000000-0005-0000-0000-000060010000}"/>
    <cellStyle name="20% - Accent6 2 18 2" xfId="2821" xr:uid="{00000000-0005-0000-0000-000060010000}"/>
    <cellStyle name="20% - Accent6 2 19" xfId="2746" xr:uid="{00000000-0005-0000-0000-00000A000000}"/>
    <cellStyle name="20% - Accent6 2 2" xfId="351" xr:uid="{00000000-0005-0000-0000-000061010000}"/>
    <cellStyle name="20% - Accent6 2 2 2" xfId="707" xr:uid="{00000000-0005-0000-0000-000062010000}"/>
    <cellStyle name="20% - Accent6 2 2 3" xfId="706" xr:uid="{00000000-0005-0000-0000-000063010000}"/>
    <cellStyle name="20% - Accent6 2 2 4" xfId="2771" xr:uid="{00000000-0005-0000-0000-00000B000000}"/>
    <cellStyle name="20% - Accent6 2 2 5" xfId="2865" xr:uid="{00000000-0005-0000-0000-000080010000}"/>
    <cellStyle name="20% - Accent6 2 20" xfId="2866" xr:uid="{00000000-0005-0000-0000-000081010000}"/>
    <cellStyle name="20% - Accent6 2 21" xfId="3500" xr:uid="{00000000-0005-0000-0000-00009B0B0000}"/>
    <cellStyle name="20% - Accent6 2 3" xfId="708" xr:uid="{00000000-0005-0000-0000-000064010000}"/>
    <cellStyle name="20% - Accent6 2 3 2" xfId="709" xr:uid="{00000000-0005-0000-0000-000065010000}"/>
    <cellStyle name="20% - Accent6 2 4" xfId="710" xr:uid="{00000000-0005-0000-0000-000066010000}"/>
    <cellStyle name="20% - Accent6 2 4 2" xfId="711" xr:uid="{00000000-0005-0000-0000-000067010000}"/>
    <cellStyle name="20% - Accent6 2 5" xfId="712" xr:uid="{00000000-0005-0000-0000-000068010000}"/>
    <cellStyle name="20% - Accent6 2 5 2" xfId="713" xr:uid="{00000000-0005-0000-0000-000069010000}"/>
    <cellStyle name="20% - Accent6 2 6" xfId="714" xr:uid="{00000000-0005-0000-0000-00006A010000}"/>
    <cellStyle name="20% - Accent6 2 6 2" xfId="715" xr:uid="{00000000-0005-0000-0000-00006B010000}"/>
    <cellStyle name="20% - Accent6 2 7" xfId="716" xr:uid="{00000000-0005-0000-0000-00006C010000}"/>
    <cellStyle name="20% - Accent6 2 7 2" xfId="717" xr:uid="{00000000-0005-0000-0000-00006D010000}"/>
    <cellStyle name="20% - Accent6 2 8" xfId="718" xr:uid="{00000000-0005-0000-0000-00006E010000}"/>
    <cellStyle name="20% - Accent6 2 8 2" xfId="719" xr:uid="{00000000-0005-0000-0000-00006F010000}"/>
    <cellStyle name="20% - Accent6 2 9" xfId="720" xr:uid="{00000000-0005-0000-0000-000070010000}"/>
    <cellStyle name="20% - Accent6 2 9 2" xfId="721" xr:uid="{00000000-0005-0000-0000-000071010000}"/>
    <cellStyle name="20% - Accent6 3 10" xfId="722" xr:uid="{00000000-0005-0000-0000-000072010000}"/>
    <cellStyle name="20% - Accent6 3 10 2" xfId="723" xr:uid="{00000000-0005-0000-0000-000073010000}"/>
    <cellStyle name="20% - Accent6 3 11" xfId="724" xr:uid="{00000000-0005-0000-0000-000074010000}"/>
    <cellStyle name="20% - Accent6 3 11 2" xfId="725" xr:uid="{00000000-0005-0000-0000-000075010000}"/>
    <cellStyle name="20% - Accent6 3 12" xfId="726" xr:uid="{00000000-0005-0000-0000-000076010000}"/>
    <cellStyle name="20% - Accent6 3 12 2" xfId="727" xr:uid="{00000000-0005-0000-0000-000077010000}"/>
    <cellStyle name="20% - Accent6 3 13" xfId="728" xr:uid="{00000000-0005-0000-0000-000078010000}"/>
    <cellStyle name="20% - Accent6 3 13 2" xfId="729" xr:uid="{00000000-0005-0000-0000-000079010000}"/>
    <cellStyle name="20% - Accent6 3 14" xfId="730" xr:uid="{00000000-0005-0000-0000-00007A010000}"/>
    <cellStyle name="20% - Accent6 3 14 2" xfId="731" xr:uid="{00000000-0005-0000-0000-00007B010000}"/>
    <cellStyle name="20% - Accent6 3 15" xfId="732" xr:uid="{00000000-0005-0000-0000-00007C010000}"/>
    <cellStyle name="20% - Accent6 3 15 2" xfId="733" xr:uid="{00000000-0005-0000-0000-00007D010000}"/>
    <cellStyle name="20% - Accent6 3 16" xfId="734" xr:uid="{00000000-0005-0000-0000-00007E010000}"/>
    <cellStyle name="20% - Accent6 3 16 2" xfId="735" xr:uid="{00000000-0005-0000-0000-00007F010000}"/>
    <cellStyle name="20% - Accent6 3 17" xfId="736" xr:uid="{00000000-0005-0000-0000-000080010000}"/>
    <cellStyle name="20% - Accent6 3 17 2" xfId="737" xr:uid="{00000000-0005-0000-0000-000081010000}"/>
    <cellStyle name="20% - Accent6 3 2" xfId="738" xr:uid="{00000000-0005-0000-0000-000082010000}"/>
    <cellStyle name="20% - Accent6 3 2 2" xfId="739" xr:uid="{00000000-0005-0000-0000-000083010000}"/>
    <cellStyle name="20% - Accent6 3 3" xfId="740" xr:uid="{00000000-0005-0000-0000-000084010000}"/>
    <cellStyle name="20% - Accent6 3 3 2" xfId="741" xr:uid="{00000000-0005-0000-0000-000085010000}"/>
    <cellStyle name="20% - Accent6 3 4" xfId="742" xr:uid="{00000000-0005-0000-0000-000086010000}"/>
    <cellStyle name="20% - Accent6 3 4 2" xfId="743" xr:uid="{00000000-0005-0000-0000-000087010000}"/>
    <cellStyle name="20% - Accent6 3 5" xfId="744" xr:uid="{00000000-0005-0000-0000-000088010000}"/>
    <cellStyle name="20% - Accent6 3 5 2" xfId="745" xr:uid="{00000000-0005-0000-0000-000089010000}"/>
    <cellStyle name="20% - Accent6 3 6" xfId="746" xr:uid="{00000000-0005-0000-0000-00008A010000}"/>
    <cellStyle name="20% - Accent6 3 6 2" xfId="747" xr:uid="{00000000-0005-0000-0000-00008B010000}"/>
    <cellStyle name="20% - Accent6 3 7" xfId="748" xr:uid="{00000000-0005-0000-0000-00008C010000}"/>
    <cellStyle name="20% - Accent6 3 7 2" xfId="749" xr:uid="{00000000-0005-0000-0000-00008D010000}"/>
    <cellStyle name="20% - Accent6 3 8" xfId="750" xr:uid="{00000000-0005-0000-0000-00008E010000}"/>
    <cellStyle name="20% - Accent6 3 8 2" xfId="751" xr:uid="{00000000-0005-0000-0000-00008F010000}"/>
    <cellStyle name="20% - Accent6 3 9" xfId="752" xr:uid="{00000000-0005-0000-0000-000090010000}"/>
    <cellStyle name="20% - Accent6 3 9 2" xfId="753" xr:uid="{00000000-0005-0000-0000-000091010000}"/>
    <cellStyle name="20% - Colore 1" xfId="45" xr:uid="{00000000-0005-0000-0000-000092010000}"/>
    <cellStyle name="20% - Colore 1 10" xfId="46" xr:uid="{00000000-0005-0000-0000-000093010000}"/>
    <cellStyle name="20% - Colore 1 10 2" xfId="755" xr:uid="{00000000-0005-0000-0000-000094010000}"/>
    <cellStyle name="20% - Colore 1 10 3" xfId="2433" xr:uid="{00000000-0005-0000-0000-000095010000}"/>
    <cellStyle name="20% - Colore 1 10 4" xfId="2867" xr:uid="{00000000-0005-0000-0000-0000B4010000}"/>
    <cellStyle name="20% - Colore 1 10 4 2" xfId="2868" xr:uid="{00000000-0005-0000-0000-0000B5010000}"/>
    <cellStyle name="20% - Colore 1 10 5" xfId="2869" xr:uid="{00000000-0005-0000-0000-0000B6010000}"/>
    <cellStyle name="20% - Colore 1 11" xfId="47" xr:uid="{00000000-0005-0000-0000-000096010000}"/>
    <cellStyle name="20% - Colore 1 11 2" xfId="756" xr:uid="{00000000-0005-0000-0000-000097010000}"/>
    <cellStyle name="20% - Colore 1 11 3" xfId="2434" xr:uid="{00000000-0005-0000-0000-000098010000}"/>
    <cellStyle name="20% - Colore 1 11 4" xfId="2870" xr:uid="{00000000-0005-0000-0000-0000BA010000}"/>
    <cellStyle name="20% - Colore 1 11 4 2" xfId="2871" xr:uid="{00000000-0005-0000-0000-0000BB010000}"/>
    <cellStyle name="20% - Colore 1 11 5" xfId="2872" xr:uid="{00000000-0005-0000-0000-0000BC010000}"/>
    <cellStyle name="20% - Colore 1 12" xfId="48" xr:uid="{00000000-0005-0000-0000-000099010000}"/>
    <cellStyle name="20% - Colore 1 12 2" xfId="757" xr:uid="{00000000-0005-0000-0000-00009A010000}"/>
    <cellStyle name="20% - Colore 1 12 3" xfId="2435" xr:uid="{00000000-0005-0000-0000-00009B010000}"/>
    <cellStyle name="20% - Colore 1 12 4" xfId="2873" xr:uid="{00000000-0005-0000-0000-0000C0010000}"/>
    <cellStyle name="20% - Colore 1 12 4 2" xfId="2874" xr:uid="{00000000-0005-0000-0000-0000C1010000}"/>
    <cellStyle name="20% - Colore 1 12 5" xfId="2875" xr:uid="{00000000-0005-0000-0000-0000C2010000}"/>
    <cellStyle name="20% - Colore 1 13" xfId="49" xr:uid="{00000000-0005-0000-0000-00009C010000}"/>
    <cellStyle name="20% - Colore 1 13 2" xfId="758" xr:uid="{00000000-0005-0000-0000-00009D010000}"/>
    <cellStyle name="20% - Colore 1 13 3" xfId="2436" xr:uid="{00000000-0005-0000-0000-00009E010000}"/>
    <cellStyle name="20% - Colore 1 13 4" xfId="2876" xr:uid="{00000000-0005-0000-0000-0000C6010000}"/>
    <cellStyle name="20% - Colore 1 13 4 2" xfId="2877" xr:uid="{00000000-0005-0000-0000-0000C7010000}"/>
    <cellStyle name="20% - Colore 1 13 5" xfId="2878" xr:uid="{00000000-0005-0000-0000-0000C8010000}"/>
    <cellStyle name="20% - Colore 1 14" xfId="50" xr:uid="{00000000-0005-0000-0000-00009F010000}"/>
    <cellStyle name="20% - Colore 1 14 2" xfId="759" xr:uid="{00000000-0005-0000-0000-0000A0010000}"/>
    <cellStyle name="20% - Colore 1 14 3" xfId="2437" xr:uid="{00000000-0005-0000-0000-0000A1010000}"/>
    <cellStyle name="20% - Colore 1 14 4" xfId="2879" xr:uid="{00000000-0005-0000-0000-0000CC010000}"/>
    <cellStyle name="20% - Colore 1 14 4 2" xfId="2880" xr:uid="{00000000-0005-0000-0000-0000CD010000}"/>
    <cellStyle name="20% - Colore 1 14 5" xfId="2881" xr:uid="{00000000-0005-0000-0000-0000CE010000}"/>
    <cellStyle name="20% - Colore 1 15" xfId="285" xr:uid="{00000000-0005-0000-0000-0000A2010000}"/>
    <cellStyle name="20% - Colore 1 15 2" xfId="760" xr:uid="{00000000-0005-0000-0000-0000A3010000}"/>
    <cellStyle name="20% - Colore 1 15 2 2" xfId="2438" xr:uid="{00000000-0005-0000-0000-0000A4010000}"/>
    <cellStyle name="20% - Colore 1 15 3" xfId="2439" xr:uid="{00000000-0005-0000-0000-0000A5010000}"/>
    <cellStyle name="20% - Colore 1 15 4" xfId="2882" xr:uid="{00000000-0005-0000-0000-0000D3010000}"/>
    <cellStyle name="20% - Colore 1 15 4 2" xfId="2883" xr:uid="{00000000-0005-0000-0000-0000D4010000}"/>
    <cellStyle name="20% - Colore 1 15 5" xfId="2884" xr:uid="{00000000-0005-0000-0000-0000D5010000}"/>
    <cellStyle name="20% - Colore 1 16" xfId="761" xr:uid="{00000000-0005-0000-0000-0000A6010000}"/>
    <cellStyle name="20% - Colore 1 16 2" xfId="2440" xr:uid="{00000000-0005-0000-0000-0000A7010000}"/>
    <cellStyle name="20% - Colore 1 17" xfId="754" xr:uid="{00000000-0005-0000-0000-0000A8010000}"/>
    <cellStyle name="20% - Colore 1 18" xfId="2441" xr:uid="{00000000-0005-0000-0000-0000A9010000}"/>
    <cellStyle name="20% - Colore 1 19" xfId="2442" xr:uid="{00000000-0005-0000-0000-0000AA010000}"/>
    <cellStyle name="20% - Colore 1 2" xfId="51" xr:uid="{00000000-0005-0000-0000-0000AB010000}"/>
    <cellStyle name="20% - Colore 1 2 2" xfId="762" xr:uid="{00000000-0005-0000-0000-0000AC010000}"/>
    <cellStyle name="20% - Colore 1 2 3" xfId="2443" xr:uid="{00000000-0005-0000-0000-0000AD010000}"/>
    <cellStyle name="20% - Colore 1 2 4" xfId="2885" xr:uid="{00000000-0005-0000-0000-0000DE010000}"/>
    <cellStyle name="20% - Colore 1 2 4 2" xfId="2886" xr:uid="{00000000-0005-0000-0000-0000DF010000}"/>
    <cellStyle name="20% - Colore 1 2 5" xfId="2887" xr:uid="{00000000-0005-0000-0000-0000E0010000}"/>
    <cellStyle name="20% - Colore 1 20" xfId="2888" xr:uid="{00000000-0005-0000-0000-0000E1010000}"/>
    <cellStyle name="20% - Colore 1 20 2" xfId="2889" xr:uid="{00000000-0005-0000-0000-0000E2010000}"/>
    <cellStyle name="20% - Colore 1 21" xfId="2890" xr:uid="{00000000-0005-0000-0000-0000E3010000}"/>
    <cellStyle name="20% - Colore 1 3" xfId="52" xr:uid="{00000000-0005-0000-0000-0000AE010000}"/>
    <cellStyle name="20% - Colore 1 3 2" xfId="763" xr:uid="{00000000-0005-0000-0000-0000AF010000}"/>
    <cellStyle name="20% - Colore 1 3 3" xfId="2444" xr:uid="{00000000-0005-0000-0000-0000B0010000}"/>
    <cellStyle name="20% - Colore 1 3 4" xfId="2891" xr:uid="{00000000-0005-0000-0000-0000E7010000}"/>
    <cellStyle name="20% - Colore 1 3 4 2" xfId="2892" xr:uid="{00000000-0005-0000-0000-0000E8010000}"/>
    <cellStyle name="20% - Colore 1 3 5" xfId="2893" xr:uid="{00000000-0005-0000-0000-0000E9010000}"/>
    <cellStyle name="20% - Colore 1 4" xfId="53" xr:uid="{00000000-0005-0000-0000-0000B1010000}"/>
    <cellStyle name="20% - Colore 1 4 2" xfId="764" xr:uid="{00000000-0005-0000-0000-0000B2010000}"/>
    <cellStyle name="20% - Colore 1 4 3" xfId="2445" xr:uid="{00000000-0005-0000-0000-0000B3010000}"/>
    <cellStyle name="20% - Colore 1 4 4" xfId="2894" xr:uid="{00000000-0005-0000-0000-0000ED010000}"/>
    <cellStyle name="20% - Colore 1 4 4 2" xfId="2895" xr:uid="{00000000-0005-0000-0000-0000EE010000}"/>
    <cellStyle name="20% - Colore 1 4 5" xfId="2896" xr:uid="{00000000-0005-0000-0000-0000EF010000}"/>
    <cellStyle name="20% - Colore 1 5" xfId="54" xr:uid="{00000000-0005-0000-0000-0000B4010000}"/>
    <cellStyle name="20% - Colore 1 5 2" xfId="765" xr:uid="{00000000-0005-0000-0000-0000B5010000}"/>
    <cellStyle name="20% - Colore 1 5 3" xfId="2446" xr:uid="{00000000-0005-0000-0000-0000B6010000}"/>
    <cellStyle name="20% - Colore 1 5 4" xfId="2897" xr:uid="{00000000-0005-0000-0000-0000F3010000}"/>
    <cellStyle name="20% - Colore 1 5 4 2" xfId="2898" xr:uid="{00000000-0005-0000-0000-0000F4010000}"/>
    <cellStyle name="20% - Colore 1 5 5" xfId="2899" xr:uid="{00000000-0005-0000-0000-0000F5010000}"/>
    <cellStyle name="20% - Colore 1 6" xfId="55" xr:uid="{00000000-0005-0000-0000-0000B7010000}"/>
    <cellStyle name="20% - Colore 1 6 2" xfId="766" xr:uid="{00000000-0005-0000-0000-0000B8010000}"/>
    <cellStyle name="20% - Colore 1 6 3" xfId="2447" xr:uid="{00000000-0005-0000-0000-0000B9010000}"/>
    <cellStyle name="20% - Colore 1 6 4" xfId="2900" xr:uid="{00000000-0005-0000-0000-0000F9010000}"/>
    <cellStyle name="20% - Colore 1 6 4 2" xfId="2901" xr:uid="{00000000-0005-0000-0000-0000FA010000}"/>
    <cellStyle name="20% - Colore 1 6 5" xfId="2902" xr:uid="{00000000-0005-0000-0000-0000FB010000}"/>
    <cellStyle name="20% - Colore 1 7" xfId="56" xr:uid="{00000000-0005-0000-0000-0000BA010000}"/>
    <cellStyle name="20% - Colore 1 7 2" xfId="767" xr:uid="{00000000-0005-0000-0000-0000BB010000}"/>
    <cellStyle name="20% - Colore 1 7 3" xfId="2448" xr:uid="{00000000-0005-0000-0000-0000BC010000}"/>
    <cellStyle name="20% - Colore 1 7 4" xfId="2903" xr:uid="{00000000-0005-0000-0000-0000FF010000}"/>
    <cellStyle name="20% - Colore 1 7 4 2" xfId="2904" xr:uid="{00000000-0005-0000-0000-000000020000}"/>
    <cellStyle name="20% - Colore 1 7 5" xfId="2905" xr:uid="{00000000-0005-0000-0000-000001020000}"/>
    <cellStyle name="20% - Colore 1 8" xfId="57" xr:uid="{00000000-0005-0000-0000-0000BD010000}"/>
    <cellStyle name="20% - Colore 1 8 2" xfId="768" xr:uid="{00000000-0005-0000-0000-0000BE010000}"/>
    <cellStyle name="20% - Colore 1 8 3" xfId="2449" xr:uid="{00000000-0005-0000-0000-0000BF010000}"/>
    <cellStyle name="20% - Colore 1 8 4" xfId="2906" xr:uid="{00000000-0005-0000-0000-000005020000}"/>
    <cellStyle name="20% - Colore 1 8 4 2" xfId="2907" xr:uid="{00000000-0005-0000-0000-000006020000}"/>
    <cellStyle name="20% - Colore 1 8 5" xfId="2908" xr:uid="{00000000-0005-0000-0000-000007020000}"/>
    <cellStyle name="20% - Colore 1 9" xfId="58" xr:uid="{00000000-0005-0000-0000-0000C0010000}"/>
    <cellStyle name="20% - Colore 1 9 2" xfId="769" xr:uid="{00000000-0005-0000-0000-0000C1010000}"/>
    <cellStyle name="20% - Colore 1 9 3" xfId="2450" xr:uid="{00000000-0005-0000-0000-0000C2010000}"/>
    <cellStyle name="20% - Colore 1 9 4" xfId="2909" xr:uid="{00000000-0005-0000-0000-00000B020000}"/>
    <cellStyle name="20% - Colore 1 9 4 2" xfId="2910" xr:uid="{00000000-0005-0000-0000-00000C020000}"/>
    <cellStyle name="20% - Colore 1 9 5" xfId="2911" xr:uid="{00000000-0005-0000-0000-00000D020000}"/>
    <cellStyle name="20% - Colore 2" xfId="59" xr:uid="{00000000-0005-0000-0000-0000C3010000}"/>
    <cellStyle name="20% - Colore 2 10" xfId="60" xr:uid="{00000000-0005-0000-0000-0000C4010000}"/>
    <cellStyle name="20% - Colore 2 10 2" xfId="771" xr:uid="{00000000-0005-0000-0000-0000C5010000}"/>
    <cellStyle name="20% - Colore 2 10 3" xfId="2451" xr:uid="{00000000-0005-0000-0000-0000C6010000}"/>
    <cellStyle name="20% - Colore 2 10 4" xfId="2912" xr:uid="{00000000-0005-0000-0000-000012020000}"/>
    <cellStyle name="20% - Colore 2 10 4 2" xfId="2913" xr:uid="{00000000-0005-0000-0000-000013020000}"/>
    <cellStyle name="20% - Colore 2 10 5" xfId="2914" xr:uid="{00000000-0005-0000-0000-000014020000}"/>
    <cellStyle name="20% - Colore 2 11" xfId="61" xr:uid="{00000000-0005-0000-0000-0000C7010000}"/>
    <cellStyle name="20% - Colore 2 11 2" xfId="772" xr:uid="{00000000-0005-0000-0000-0000C8010000}"/>
    <cellStyle name="20% - Colore 2 11 3" xfId="2452" xr:uid="{00000000-0005-0000-0000-0000C9010000}"/>
    <cellStyle name="20% - Colore 2 11 4" xfId="2915" xr:uid="{00000000-0005-0000-0000-000018020000}"/>
    <cellStyle name="20% - Colore 2 11 4 2" xfId="2916" xr:uid="{00000000-0005-0000-0000-000019020000}"/>
    <cellStyle name="20% - Colore 2 11 5" xfId="2917" xr:uid="{00000000-0005-0000-0000-00001A020000}"/>
    <cellStyle name="20% - Colore 2 12" xfId="62" xr:uid="{00000000-0005-0000-0000-0000CA010000}"/>
    <cellStyle name="20% - Colore 2 12 2" xfId="773" xr:uid="{00000000-0005-0000-0000-0000CB010000}"/>
    <cellStyle name="20% - Colore 2 12 3" xfId="2453" xr:uid="{00000000-0005-0000-0000-0000CC010000}"/>
    <cellStyle name="20% - Colore 2 12 4" xfId="2918" xr:uid="{00000000-0005-0000-0000-00001E020000}"/>
    <cellStyle name="20% - Colore 2 12 4 2" xfId="2919" xr:uid="{00000000-0005-0000-0000-00001F020000}"/>
    <cellStyle name="20% - Colore 2 12 5" xfId="2920" xr:uid="{00000000-0005-0000-0000-000020020000}"/>
    <cellStyle name="20% - Colore 2 13" xfId="63" xr:uid="{00000000-0005-0000-0000-0000CD010000}"/>
    <cellStyle name="20% - Colore 2 13 2" xfId="774" xr:uid="{00000000-0005-0000-0000-0000CE010000}"/>
    <cellStyle name="20% - Colore 2 13 3" xfId="2454" xr:uid="{00000000-0005-0000-0000-0000CF010000}"/>
    <cellStyle name="20% - Colore 2 13 4" xfId="2921" xr:uid="{00000000-0005-0000-0000-000024020000}"/>
    <cellStyle name="20% - Colore 2 13 4 2" xfId="2922" xr:uid="{00000000-0005-0000-0000-000025020000}"/>
    <cellStyle name="20% - Colore 2 13 5" xfId="2923" xr:uid="{00000000-0005-0000-0000-000026020000}"/>
    <cellStyle name="20% - Colore 2 14" xfId="64" xr:uid="{00000000-0005-0000-0000-0000D0010000}"/>
    <cellStyle name="20% - Colore 2 14 2" xfId="775" xr:uid="{00000000-0005-0000-0000-0000D1010000}"/>
    <cellStyle name="20% - Colore 2 14 3" xfId="2455" xr:uid="{00000000-0005-0000-0000-0000D2010000}"/>
    <cellStyle name="20% - Colore 2 14 4" xfId="2924" xr:uid="{00000000-0005-0000-0000-00002A020000}"/>
    <cellStyle name="20% - Colore 2 14 4 2" xfId="2925" xr:uid="{00000000-0005-0000-0000-00002B020000}"/>
    <cellStyle name="20% - Colore 2 14 5" xfId="2926" xr:uid="{00000000-0005-0000-0000-00002C020000}"/>
    <cellStyle name="20% - Colore 2 15" xfId="286" xr:uid="{00000000-0005-0000-0000-0000D3010000}"/>
    <cellStyle name="20% - Colore 2 15 2" xfId="776" xr:uid="{00000000-0005-0000-0000-0000D4010000}"/>
    <cellStyle name="20% - Colore 2 15 2 2" xfId="2456" xr:uid="{00000000-0005-0000-0000-0000D5010000}"/>
    <cellStyle name="20% - Colore 2 15 3" xfId="2457" xr:uid="{00000000-0005-0000-0000-0000D6010000}"/>
    <cellStyle name="20% - Colore 2 15 4" xfId="2927" xr:uid="{00000000-0005-0000-0000-000031020000}"/>
    <cellStyle name="20% - Colore 2 15 4 2" xfId="2928" xr:uid="{00000000-0005-0000-0000-000032020000}"/>
    <cellStyle name="20% - Colore 2 15 5" xfId="2929" xr:uid="{00000000-0005-0000-0000-000033020000}"/>
    <cellStyle name="20% - Colore 2 16" xfId="777" xr:uid="{00000000-0005-0000-0000-0000D7010000}"/>
    <cellStyle name="20% - Colore 2 16 2" xfId="2458" xr:uid="{00000000-0005-0000-0000-0000D8010000}"/>
    <cellStyle name="20% - Colore 2 17" xfId="770" xr:uid="{00000000-0005-0000-0000-0000D9010000}"/>
    <cellStyle name="20% - Colore 2 18" xfId="2459" xr:uid="{00000000-0005-0000-0000-0000DA010000}"/>
    <cellStyle name="20% - Colore 2 19" xfId="2460" xr:uid="{00000000-0005-0000-0000-0000DB010000}"/>
    <cellStyle name="20% - Colore 2 2" xfId="65" xr:uid="{00000000-0005-0000-0000-0000DC010000}"/>
    <cellStyle name="20% - Colore 2 2 2" xfId="778" xr:uid="{00000000-0005-0000-0000-0000DD010000}"/>
    <cellStyle name="20% - Colore 2 2 3" xfId="2461" xr:uid="{00000000-0005-0000-0000-0000DE010000}"/>
    <cellStyle name="20% - Colore 2 2 4" xfId="2930" xr:uid="{00000000-0005-0000-0000-00003C020000}"/>
    <cellStyle name="20% - Colore 2 2 4 2" xfId="2931" xr:uid="{00000000-0005-0000-0000-00003D020000}"/>
    <cellStyle name="20% - Colore 2 2 5" xfId="2932" xr:uid="{00000000-0005-0000-0000-00003E020000}"/>
    <cellStyle name="20% - Colore 2 20" xfId="2933" xr:uid="{00000000-0005-0000-0000-00003F020000}"/>
    <cellStyle name="20% - Colore 2 20 2" xfId="2934" xr:uid="{00000000-0005-0000-0000-000040020000}"/>
    <cellStyle name="20% - Colore 2 21" xfId="2935" xr:uid="{00000000-0005-0000-0000-000041020000}"/>
    <cellStyle name="20% - Colore 2 3" xfId="66" xr:uid="{00000000-0005-0000-0000-0000DF010000}"/>
    <cellStyle name="20% - Colore 2 3 2" xfId="779" xr:uid="{00000000-0005-0000-0000-0000E0010000}"/>
    <cellStyle name="20% - Colore 2 3 3" xfId="2462" xr:uid="{00000000-0005-0000-0000-0000E1010000}"/>
    <cellStyle name="20% - Colore 2 3 4" xfId="2936" xr:uid="{00000000-0005-0000-0000-000045020000}"/>
    <cellStyle name="20% - Colore 2 3 4 2" xfId="2937" xr:uid="{00000000-0005-0000-0000-000046020000}"/>
    <cellStyle name="20% - Colore 2 3 5" xfId="2938" xr:uid="{00000000-0005-0000-0000-000047020000}"/>
    <cellStyle name="20% - Colore 2 4" xfId="67" xr:uid="{00000000-0005-0000-0000-0000E2010000}"/>
    <cellStyle name="20% - Colore 2 4 2" xfId="780" xr:uid="{00000000-0005-0000-0000-0000E3010000}"/>
    <cellStyle name="20% - Colore 2 4 3" xfId="2463" xr:uid="{00000000-0005-0000-0000-0000E4010000}"/>
    <cellStyle name="20% - Colore 2 4 4" xfId="2939" xr:uid="{00000000-0005-0000-0000-00004B020000}"/>
    <cellStyle name="20% - Colore 2 4 4 2" xfId="2940" xr:uid="{00000000-0005-0000-0000-00004C020000}"/>
    <cellStyle name="20% - Colore 2 4 5" xfId="2941" xr:uid="{00000000-0005-0000-0000-00004D020000}"/>
    <cellStyle name="20% - Colore 2 5" xfId="68" xr:uid="{00000000-0005-0000-0000-0000E5010000}"/>
    <cellStyle name="20% - Colore 2 5 2" xfId="781" xr:uid="{00000000-0005-0000-0000-0000E6010000}"/>
    <cellStyle name="20% - Colore 2 5 3" xfId="2464" xr:uid="{00000000-0005-0000-0000-0000E7010000}"/>
    <cellStyle name="20% - Colore 2 5 4" xfId="2942" xr:uid="{00000000-0005-0000-0000-000051020000}"/>
    <cellStyle name="20% - Colore 2 5 4 2" xfId="2943" xr:uid="{00000000-0005-0000-0000-000052020000}"/>
    <cellStyle name="20% - Colore 2 5 5" xfId="2944" xr:uid="{00000000-0005-0000-0000-000053020000}"/>
    <cellStyle name="20% - Colore 2 6" xfId="69" xr:uid="{00000000-0005-0000-0000-0000E8010000}"/>
    <cellStyle name="20% - Colore 2 6 2" xfId="782" xr:uid="{00000000-0005-0000-0000-0000E9010000}"/>
    <cellStyle name="20% - Colore 2 6 3" xfId="2465" xr:uid="{00000000-0005-0000-0000-0000EA010000}"/>
    <cellStyle name="20% - Colore 2 6 4" xfId="2945" xr:uid="{00000000-0005-0000-0000-000057020000}"/>
    <cellStyle name="20% - Colore 2 6 4 2" xfId="2946" xr:uid="{00000000-0005-0000-0000-000058020000}"/>
    <cellStyle name="20% - Colore 2 6 5" xfId="2947" xr:uid="{00000000-0005-0000-0000-000059020000}"/>
    <cellStyle name="20% - Colore 2 7" xfId="70" xr:uid="{00000000-0005-0000-0000-0000EB010000}"/>
    <cellStyle name="20% - Colore 2 7 2" xfId="783" xr:uid="{00000000-0005-0000-0000-0000EC010000}"/>
    <cellStyle name="20% - Colore 2 7 3" xfId="2466" xr:uid="{00000000-0005-0000-0000-0000ED010000}"/>
    <cellStyle name="20% - Colore 2 7 4" xfId="2948" xr:uid="{00000000-0005-0000-0000-00005D020000}"/>
    <cellStyle name="20% - Colore 2 7 4 2" xfId="2949" xr:uid="{00000000-0005-0000-0000-00005E020000}"/>
    <cellStyle name="20% - Colore 2 7 5" xfId="2950" xr:uid="{00000000-0005-0000-0000-00005F020000}"/>
    <cellStyle name="20% - Colore 2 8" xfId="71" xr:uid="{00000000-0005-0000-0000-0000EE010000}"/>
    <cellStyle name="20% - Colore 2 8 2" xfId="784" xr:uid="{00000000-0005-0000-0000-0000EF010000}"/>
    <cellStyle name="20% - Colore 2 8 3" xfId="2467" xr:uid="{00000000-0005-0000-0000-0000F0010000}"/>
    <cellStyle name="20% - Colore 2 8 4" xfId="2951" xr:uid="{00000000-0005-0000-0000-000063020000}"/>
    <cellStyle name="20% - Colore 2 8 4 2" xfId="2952" xr:uid="{00000000-0005-0000-0000-000064020000}"/>
    <cellStyle name="20% - Colore 2 8 5" xfId="2953" xr:uid="{00000000-0005-0000-0000-000065020000}"/>
    <cellStyle name="20% - Colore 2 9" xfId="72" xr:uid="{00000000-0005-0000-0000-0000F1010000}"/>
    <cellStyle name="20% - Colore 2 9 2" xfId="785" xr:uid="{00000000-0005-0000-0000-0000F2010000}"/>
    <cellStyle name="20% - Colore 2 9 3" xfId="2468" xr:uid="{00000000-0005-0000-0000-0000F3010000}"/>
    <cellStyle name="20% - Colore 2 9 4" xfId="2954" xr:uid="{00000000-0005-0000-0000-000069020000}"/>
    <cellStyle name="20% - Colore 2 9 4 2" xfId="2955" xr:uid="{00000000-0005-0000-0000-00006A020000}"/>
    <cellStyle name="20% - Colore 2 9 5" xfId="2956" xr:uid="{00000000-0005-0000-0000-00006B020000}"/>
    <cellStyle name="20% - Colore 3" xfId="73" xr:uid="{00000000-0005-0000-0000-0000F4010000}"/>
    <cellStyle name="20% - Colore 3 10" xfId="74" xr:uid="{00000000-0005-0000-0000-0000F5010000}"/>
    <cellStyle name="20% - Colore 3 10 2" xfId="787" xr:uid="{00000000-0005-0000-0000-0000F6010000}"/>
    <cellStyle name="20% - Colore 3 10 3" xfId="2469" xr:uid="{00000000-0005-0000-0000-0000F7010000}"/>
    <cellStyle name="20% - Colore 3 10 4" xfId="2957" xr:uid="{00000000-0005-0000-0000-000070020000}"/>
    <cellStyle name="20% - Colore 3 10 4 2" xfId="2958" xr:uid="{00000000-0005-0000-0000-000071020000}"/>
    <cellStyle name="20% - Colore 3 10 5" xfId="2959" xr:uid="{00000000-0005-0000-0000-000072020000}"/>
    <cellStyle name="20% - Colore 3 11" xfId="75" xr:uid="{00000000-0005-0000-0000-0000F8010000}"/>
    <cellStyle name="20% - Colore 3 11 2" xfId="788" xr:uid="{00000000-0005-0000-0000-0000F9010000}"/>
    <cellStyle name="20% - Colore 3 11 3" xfId="2470" xr:uid="{00000000-0005-0000-0000-0000FA010000}"/>
    <cellStyle name="20% - Colore 3 11 4" xfId="2960" xr:uid="{00000000-0005-0000-0000-000076020000}"/>
    <cellStyle name="20% - Colore 3 11 4 2" xfId="2961" xr:uid="{00000000-0005-0000-0000-000077020000}"/>
    <cellStyle name="20% - Colore 3 11 5" xfId="2962" xr:uid="{00000000-0005-0000-0000-000078020000}"/>
    <cellStyle name="20% - Colore 3 12" xfId="76" xr:uid="{00000000-0005-0000-0000-0000FB010000}"/>
    <cellStyle name="20% - Colore 3 12 2" xfId="789" xr:uid="{00000000-0005-0000-0000-0000FC010000}"/>
    <cellStyle name="20% - Colore 3 12 3" xfId="2471" xr:uid="{00000000-0005-0000-0000-0000FD010000}"/>
    <cellStyle name="20% - Colore 3 12 4" xfId="2963" xr:uid="{00000000-0005-0000-0000-00007C020000}"/>
    <cellStyle name="20% - Colore 3 12 4 2" xfId="2964" xr:uid="{00000000-0005-0000-0000-00007D020000}"/>
    <cellStyle name="20% - Colore 3 12 5" xfId="2965" xr:uid="{00000000-0005-0000-0000-00007E020000}"/>
    <cellStyle name="20% - Colore 3 13" xfId="77" xr:uid="{00000000-0005-0000-0000-0000FE010000}"/>
    <cellStyle name="20% - Colore 3 13 2" xfId="790" xr:uid="{00000000-0005-0000-0000-0000FF010000}"/>
    <cellStyle name="20% - Colore 3 13 3" xfId="2472" xr:uid="{00000000-0005-0000-0000-000000020000}"/>
    <cellStyle name="20% - Colore 3 13 4" xfId="2966" xr:uid="{00000000-0005-0000-0000-000082020000}"/>
    <cellStyle name="20% - Colore 3 13 4 2" xfId="2967" xr:uid="{00000000-0005-0000-0000-000083020000}"/>
    <cellStyle name="20% - Colore 3 13 5" xfId="2968" xr:uid="{00000000-0005-0000-0000-000084020000}"/>
    <cellStyle name="20% - Colore 3 14" xfId="78" xr:uid="{00000000-0005-0000-0000-000001020000}"/>
    <cellStyle name="20% - Colore 3 14 2" xfId="791" xr:uid="{00000000-0005-0000-0000-000002020000}"/>
    <cellStyle name="20% - Colore 3 14 3" xfId="2473" xr:uid="{00000000-0005-0000-0000-000003020000}"/>
    <cellStyle name="20% - Colore 3 14 4" xfId="2969" xr:uid="{00000000-0005-0000-0000-000088020000}"/>
    <cellStyle name="20% - Colore 3 14 4 2" xfId="2970" xr:uid="{00000000-0005-0000-0000-000089020000}"/>
    <cellStyle name="20% - Colore 3 14 5" xfId="2971" xr:uid="{00000000-0005-0000-0000-00008A020000}"/>
    <cellStyle name="20% - Colore 3 15" xfId="287" xr:uid="{00000000-0005-0000-0000-000004020000}"/>
    <cellStyle name="20% - Colore 3 15 2" xfId="792" xr:uid="{00000000-0005-0000-0000-000005020000}"/>
    <cellStyle name="20% - Colore 3 15 2 2" xfId="2474" xr:uid="{00000000-0005-0000-0000-000006020000}"/>
    <cellStyle name="20% - Colore 3 15 3" xfId="2475" xr:uid="{00000000-0005-0000-0000-000007020000}"/>
    <cellStyle name="20% - Colore 3 15 4" xfId="2972" xr:uid="{00000000-0005-0000-0000-00008F020000}"/>
    <cellStyle name="20% - Colore 3 15 4 2" xfId="2973" xr:uid="{00000000-0005-0000-0000-000090020000}"/>
    <cellStyle name="20% - Colore 3 15 5" xfId="2974" xr:uid="{00000000-0005-0000-0000-000091020000}"/>
    <cellStyle name="20% - Colore 3 16" xfId="793" xr:uid="{00000000-0005-0000-0000-000008020000}"/>
    <cellStyle name="20% - Colore 3 16 2" xfId="2476" xr:uid="{00000000-0005-0000-0000-000009020000}"/>
    <cellStyle name="20% - Colore 3 17" xfId="786" xr:uid="{00000000-0005-0000-0000-00000A020000}"/>
    <cellStyle name="20% - Colore 3 18" xfId="2477" xr:uid="{00000000-0005-0000-0000-00000B020000}"/>
    <cellStyle name="20% - Colore 3 19" xfId="2478" xr:uid="{00000000-0005-0000-0000-00000C020000}"/>
    <cellStyle name="20% - Colore 3 2" xfId="79" xr:uid="{00000000-0005-0000-0000-00000D020000}"/>
    <cellStyle name="20% - Colore 3 2 2" xfId="794" xr:uid="{00000000-0005-0000-0000-00000E020000}"/>
    <cellStyle name="20% - Colore 3 2 3" xfId="2479" xr:uid="{00000000-0005-0000-0000-00000F020000}"/>
    <cellStyle name="20% - Colore 3 2 4" xfId="2975" xr:uid="{00000000-0005-0000-0000-00009A020000}"/>
    <cellStyle name="20% - Colore 3 2 4 2" xfId="2976" xr:uid="{00000000-0005-0000-0000-00009B020000}"/>
    <cellStyle name="20% - Colore 3 2 5" xfId="2977" xr:uid="{00000000-0005-0000-0000-00009C020000}"/>
    <cellStyle name="20% - Colore 3 20" xfId="2978" xr:uid="{00000000-0005-0000-0000-00009D020000}"/>
    <cellStyle name="20% - Colore 3 20 2" xfId="2979" xr:uid="{00000000-0005-0000-0000-00009E020000}"/>
    <cellStyle name="20% - Colore 3 21" xfId="2980" xr:uid="{00000000-0005-0000-0000-00009F020000}"/>
    <cellStyle name="20% - Colore 3 3" xfId="80" xr:uid="{00000000-0005-0000-0000-000010020000}"/>
    <cellStyle name="20% - Colore 3 3 2" xfId="795" xr:uid="{00000000-0005-0000-0000-000011020000}"/>
    <cellStyle name="20% - Colore 3 3 3" xfId="2480" xr:uid="{00000000-0005-0000-0000-000012020000}"/>
    <cellStyle name="20% - Colore 3 3 4" xfId="2981" xr:uid="{00000000-0005-0000-0000-0000A3020000}"/>
    <cellStyle name="20% - Colore 3 3 4 2" xfId="2982" xr:uid="{00000000-0005-0000-0000-0000A4020000}"/>
    <cellStyle name="20% - Colore 3 3 5" xfId="2983" xr:uid="{00000000-0005-0000-0000-0000A5020000}"/>
    <cellStyle name="20% - Colore 3 4" xfId="81" xr:uid="{00000000-0005-0000-0000-000013020000}"/>
    <cellStyle name="20% - Colore 3 4 2" xfId="796" xr:uid="{00000000-0005-0000-0000-000014020000}"/>
    <cellStyle name="20% - Colore 3 4 3" xfId="2481" xr:uid="{00000000-0005-0000-0000-000015020000}"/>
    <cellStyle name="20% - Colore 3 4 4" xfId="2984" xr:uid="{00000000-0005-0000-0000-0000A9020000}"/>
    <cellStyle name="20% - Colore 3 4 4 2" xfId="2985" xr:uid="{00000000-0005-0000-0000-0000AA020000}"/>
    <cellStyle name="20% - Colore 3 4 5" xfId="2986" xr:uid="{00000000-0005-0000-0000-0000AB020000}"/>
    <cellStyle name="20% - Colore 3 5" xfId="82" xr:uid="{00000000-0005-0000-0000-000016020000}"/>
    <cellStyle name="20% - Colore 3 5 2" xfId="797" xr:uid="{00000000-0005-0000-0000-000017020000}"/>
    <cellStyle name="20% - Colore 3 5 3" xfId="2482" xr:uid="{00000000-0005-0000-0000-000018020000}"/>
    <cellStyle name="20% - Colore 3 5 4" xfId="2987" xr:uid="{00000000-0005-0000-0000-0000AF020000}"/>
    <cellStyle name="20% - Colore 3 5 4 2" xfId="2988" xr:uid="{00000000-0005-0000-0000-0000B0020000}"/>
    <cellStyle name="20% - Colore 3 5 5" xfId="2989" xr:uid="{00000000-0005-0000-0000-0000B1020000}"/>
    <cellStyle name="20% - Colore 3 6" xfId="83" xr:uid="{00000000-0005-0000-0000-000019020000}"/>
    <cellStyle name="20% - Colore 3 6 2" xfId="798" xr:uid="{00000000-0005-0000-0000-00001A020000}"/>
    <cellStyle name="20% - Colore 3 6 3" xfId="2483" xr:uid="{00000000-0005-0000-0000-00001B020000}"/>
    <cellStyle name="20% - Colore 3 6 4" xfId="2990" xr:uid="{00000000-0005-0000-0000-0000B5020000}"/>
    <cellStyle name="20% - Colore 3 6 4 2" xfId="2991" xr:uid="{00000000-0005-0000-0000-0000B6020000}"/>
    <cellStyle name="20% - Colore 3 6 5" xfId="2992" xr:uid="{00000000-0005-0000-0000-0000B7020000}"/>
    <cellStyle name="20% - Colore 3 7" xfId="84" xr:uid="{00000000-0005-0000-0000-00001C020000}"/>
    <cellStyle name="20% - Colore 3 7 2" xfId="799" xr:uid="{00000000-0005-0000-0000-00001D020000}"/>
    <cellStyle name="20% - Colore 3 7 3" xfId="2484" xr:uid="{00000000-0005-0000-0000-00001E020000}"/>
    <cellStyle name="20% - Colore 3 7 4" xfId="2993" xr:uid="{00000000-0005-0000-0000-0000BB020000}"/>
    <cellStyle name="20% - Colore 3 7 4 2" xfId="2994" xr:uid="{00000000-0005-0000-0000-0000BC020000}"/>
    <cellStyle name="20% - Colore 3 7 5" xfId="2995" xr:uid="{00000000-0005-0000-0000-0000BD020000}"/>
    <cellStyle name="20% - Colore 3 8" xfId="85" xr:uid="{00000000-0005-0000-0000-00001F020000}"/>
    <cellStyle name="20% - Colore 3 8 2" xfId="800" xr:uid="{00000000-0005-0000-0000-000020020000}"/>
    <cellStyle name="20% - Colore 3 8 3" xfId="2485" xr:uid="{00000000-0005-0000-0000-000021020000}"/>
    <cellStyle name="20% - Colore 3 8 4" xfId="2996" xr:uid="{00000000-0005-0000-0000-0000C1020000}"/>
    <cellStyle name="20% - Colore 3 8 4 2" xfId="2997" xr:uid="{00000000-0005-0000-0000-0000C2020000}"/>
    <cellStyle name="20% - Colore 3 8 5" xfId="2998" xr:uid="{00000000-0005-0000-0000-0000C3020000}"/>
    <cellStyle name="20% - Colore 3 9" xfId="86" xr:uid="{00000000-0005-0000-0000-000022020000}"/>
    <cellStyle name="20% - Colore 3 9 2" xfId="801" xr:uid="{00000000-0005-0000-0000-000023020000}"/>
    <cellStyle name="20% - Colore 3 9 3" xfId="2486" xr:uid="{00000000-0005-0000-0000-000024020000}"/>
    <cellStyle name="20% - Colore 3 9 4" xfId="2999" xr:uid="{00000000-0005-0000-0000-0000C7020000}"/>
    <cellStyle name="20% - Colore 3 9 4 2" xfId="3000" xr:uid="{00000000-0005-0000-0000-0000C8020000}"/>
    <cellStyle name="20% - Colore 3 9 5" xfId="3001" xr:uid="{00000000-0005-0000-0000-0000C9020000}"/>
    <cellStyle name="20% - Colore 4" xfId="87" xr:uid="{00000000-0005-0000-0000-000025020000}"/>
    <cellStyle name="20% - Colore 4 10" xfId="88" xr:uid="{00000000-0005-0000-0000-000026020000}"/>
    <cellStyle name="20% - Colore 4 10 2" xfId="803" xr:uid="{00000000-0005-0000-0000-000027020000}"/>
    <cellStyle name="20% - Colore 4 10 3" xfId="2487" xr:uid="{00000000-0005-0000-0000-000028020000}"/>
    <cellStyle name="20% - Colore 4 10 4" xfId="3002" xr:uid="{00000000-0005-0000-0000-0000CE020000}"/>
    <cellStyle name="20% - Colore 4 10 4 2" xfId="3003" xr:uid="{00000000-0005-0000-0000-0000CF020000}"/>
    <cellStyle name="20% - Colore 4 10 5" xfId="3004" xr:uid="{00000000-0005-0000-0000-0000D0020000}"/>
    <cellStyle name="20% - Colore 4 11" xfId="89" xr:uid="{00000000-0005-0000-0000-000029020000}"/>
    <cellStyle name="20% - Colore 4 11 2" xfId="804" xr:uid="{00000000-0005-0000-0000-00002A020000}"/>
    <cellStyle name="20% - Colore 4 11 3" xfId="2488" xr:uid="{00000000-0005-0000-0000-00002B020000}"/>
    <cellStyle name="20% - Colore 4 11 4" xfId="3005" xr:uid="{00000000-0005-0000-0000-0000D4020000}"/>
    <cellStyle name="20% - Colore 4 11 4 2" xfId="3006" xr:uid="{00000000-0005-0000-0000-0000D5020000}"/>
    <cellStyle name="20% - Colore 4 11 5" xfId="3007" xr:uid="{00000000-0005-0000-0000-0000D6020000}"/>
    <cellStyle name="20% - Colore 4 12" xfId="90" xr:uid="{00000000-0005-0000-0000-00002C020000}"/>
    <cellStyle name="20% - Colore 4 12 2" xfId="805" xr:uid="{00000000-0005-0000-0000-00002D020000}"/>
    <cellStyle name="20% - Colore 4 12 3" xfId="2489" xr:uid="{00000000-0005-0000-0000-00002E020000}"/>
    <cellStyle name="20% - Colore 4 12 4" xfId="3008" xr:uid="{00000000-0005-0000-0000-0000DA020000}"/>
    <cellStyle name="20% - Colore 4 12 4 2" xfId="3009" xr:uid="{00000000-0005-0000-0000-0000DB020000}"/>
    <cellStyle name="20% - Colore 4 12 5" xfId="3010" xr:uid="{00000000-0005-0000-0000-0000DC020000}"/>
    <cellStyle name="20% - Colore 4 13" xfId="91" xr:uid="{00000000-0005-0000-0000-00002F020000}"/>
    <cellStyle name="20% - Colore 4 13 2" xfId="806" xr:uid="{00000000-0005-0000-0000-000030020000}"/>
    <cellStyle name="20% - Colore 4 13 3" xfId="2490" xr:uid="{00000000-0005-0000-0000-000031020000}"/>
    <cellStyle name="20% - Colore 4 13 4" xfId="3011" xr:uid="{00000000-0005-0000-0000-0000E0020000}"/>
    <cellStyle name="20% - Colore 4 13 4 2" xfId="3012" xr:uid="{00000000-0005-0000-0000-0000E1020000}"/>
    <cellStyle name="20% - Colore 4 13 5" xfId="3013" xr:uid="{00000000-0005-0000-0000-0000E2020000}"/>
    <cellStyle name="20% - Colore 4 14" xfId="92" xr:uid="{00000000-0005-0000-0000-000032020000}"/>
    <cellStyle name="20% - Colore 4 14 2" xfId="807" xr:uid="{00000000-0005-0000-0000-000033020000}"/>
    <cellStyle name="20% - Colore 4 14 3" xfId="2491" xr:uid="{00000000-0005-0000-0000-000034020000}"/>
    <cellStyle name="20% - Colore 4 14 4" xfId="3014" xr:uid="{00000000-0005-0000-0000-0000E6020000}"/>
    <cellStyle name="20% - Colore 4 14 4 2" xfId="3015" xr:uid="{00000000-0005-0000-0000-0000E7020000}"/>
    <cellStyle name="20% - Colore 4 14 5" xfId="3016" xr:uid="{00000000-0005-0000-0000-0000E8020000}"/>
    <cellStyle name="20% - Colore 4 15" xfId="288" xr:uid="{00000000-0005-0000-0000-000035020000}"/>
    <cellStyle name="20% - Colore 4 15 2" xfId="808" xr:uid="{00000000-0005-0000-0000-000036020000}"/>
    <cellStyle name="20% - Colore 4 15 2 2" xfId="2492" xr:uid="{00000000-0005-0000-0000-000037020000}"/>
    <cellStyle name="20% - Colore 4 15 3" xfId="2493" xr:uid="{00000000-0005-0000-0000-000038020000}"/>
    <cellStyle name="20% - Colore 4 15 4" xfId="3017" xr:uid="{00000000-0005-0000-0000-0000ED020000}"/>
    <cellStyle name="20% - Colore 4 15 4 2" xfId="3018" xr:uid="{00000000-0005-0000-0000-0000EE020000}"/>
    <cellStyle name="20% - Colore 4 15 5" xfId="3019" xr:uid="{00000000-0005-0000-0000-0000EF020000}"/>
    <cellStyle name="20% - Colore 4 16" xfId="809" xr:uid="{00000000-0005-0000-0000-000039020000}"/>
    <cellStyle name="20% - Colore 4 16 2" xfId="2494" xr:uid="{00000000-0005-0000-0000-00003A020000}"/>
    <cellStyle name="20% - Colore 4 17" xfId="802" xr:uid="{00000000-0005-0000-0000-00003B020000}"/>
    <cellStyle name="20% - Colore 4 18" xfId="2495" xr:uid="{00000000-0005-0000-0000-00003C020000}"/>
    <cellStyle name="20% - Colore 4 19" xfId="2496" xr:uid="{00000000-0005-0000-0000-00003D020000}"/>
    <cellStyle name="20% - Colore 4 2" xfId="93" xr:uid="{00000000-0005-0000-0000-00003E020000}"/>
    <cellStyle name="20% - Colore 4 2 2" xfId="810" xr:uid="{00000000-0005-0000-0000-00003F020000}"/>
    <cellStyle name="20% - Colore 4 2 3" xfId="2497" xr:uid="{00000000-0005-0000-0000-000040020000}"/>
    <cellStyle name="20% - Colore 4 2 4" xfId="3020" xr:uid="{00000000-0005-0000-0000-0000F8020000}"/>
    <cellStyle name="20% - Colore 4 2 4 2" xfId="3021" xr:uid="{00000000-0005-0000-0000-0000F9020000}"/>
    <cellStyle name="20% - Colore 4 2 5" xfId="3022" xr:uid="{00000000-0005-0000-0000-0000FA020000}"/>
    <cellStyle name="20% - Colore 4 20" xfId="3023" xr:uid="{00000000-0005-0000-0000-0000FB020000}"/>
    <cellStyle name="20% - Colore 4 20 2" xfId="3024" xr:uid="{00000000-0005-0000-0000-0000FC020000}"/>
    <cellStyle name="20% - Colore 4 21" xfId="3025" xr:uid="{00000000-0005-0000-0000-0000FD020000}"/>
    <cellStyle name="20% - Colore 4 3" xfId="94" xr:uid="{00000000-0005-0000-0000-000041020000}"/>
    <cellStyle name="20% - Colore 4 3 2" xfId="811" xr:uid="{00000000-0005-0000-0000-000042020000}"/>
    <cellStyle name="20% - Colore 4 3 3" xfId="2498" xr:uid="{00000000-0005-0000-0000-000043020000}"/>
    <cellStyle name="20% - Colore 4 3 4" xfId="3026" xr:uid="{00000000-0005-0000-0000-000001030000}"/>
    <cellStyle name="20% - Colore 4 3 4 2" xfId="3027" xr:uid="{00000000-0005-0000-0000-000002030000}"/>
    <cellStyle name="20% - Colore 4 3 5" xfId="3028" xr:uid="{00000000-0005-0000-0000-000003030000}"/>
    <cellStyle name="20% - Colore 4 4" xfId="95" xr:uid="{00000000-0005-0000-0000-000044020000}"/>
    <cellStyle name="20% - Colore 4 4 2" xfId="812" xr:uid="{00000000-0005-0000-0000-000045020000}"/>
    <cellStyle name="20% - Colore 4 4 3" xfId="2499" xr:uid="{00000000-0005-0000-0000-000046020000}"/>
    <cellStyle name="20% - Colore 4 4 4" xfId="3029" xr:uid="{00000000-0005-0000-0000-000007030000}"/>
    <cellStyle name="20% - Colore 4 4 4 2" xfId="3030" xr:uid="{00000000-0005-0000-0000-000008030000}"/>
    <cellStyle name="20% - Colore 4 4 5" xfId="3031" xr:uid="{00000000-0005-0000-0000-000009030000}"/>
    <cellStyle name="20% - Colore 4 5" xfId="96" xr:uid="{00000000-0005-0000-0000-000047020000}"/>
    <cellStyle name="20% - Colore 4 5 2" xfId="813" xr:uid="{00000000-0005-0000-0000-000048020000}"/>
    <cellStyle name="20% - Colore 4 5 3" xfId="2500" xr:uid="{00000000-0005-0000-0000-000049020000}"/>
    <cellStyle name="20% - Colore 4 5 4" xfId="3032" xr:uid="{00000000-0005-0000-0000-00000D030000}"/>
    <cellStyle name="20% - Colore 4 5 4 2" xfId="3033" xr:uid="{00000000-0005-0000-0000-00000E030000}"/>
    <cellStyle name="20% - Colore 4 5 5" xfId="3034" xr:uid="{00000000-0005-0000-0000-00000F030000}"/>
    <cellStyle name="20% - Colore 4 6" xfId="97" xr:uid="{00000000-0005-0000-0000-00004A020000}"/>
    <cellStyle name="20% - Colore 4 6 2" xfId="814" xr:uid="{00000000-0005-0000-0000-00004B020000}"/>
    <cellStyle name="20% - Colore 4 6 3" xfId="2501" xr:uid="{00000000-0005-0000-0000-00004C020000}"/>
    <cellStyle name="20% - Colore 4 6 4" xfId="3035" xr:uid="{00000000-0005-0000-0000-000013030000}"/>
    <cellStyle name="20% - Colore 4 6 4 2" xfId="3036" xr:uid="{00000000-0005-0000-0000-000014030000}"/>
    <cellStyle name="20% - Colore 4 6 5" xfId="3037" xr:uid="{00000000-0005-0000-0000-000015030000}"/>
    <cellStyle name="20% - Colore 4 7" xfId="98" xr:uid="{00000000-0005-0000-0000-00004D020000}"/>
    <cellStyle name="20% - Colore 4 7 2" xfId="815" xr:uid="{00000000-0005-0000-0000-00004E020000}"/>
    <cellStyle name="20% - Colore 4 7 3" xfId="2502" xr:uid="{00000000-0005-0000-0000-00004F020000}"/>
    <cellStyle name="20% - Colore 4 7 4" xfId="3038" xr:uid="{00000000-0005-0000-0000-000019030000}"/>
    <cellStyle name="20% - Colore 4 7 4 2" xfId="3039" xr:uid="{00000000-0005-0000-0000-00001A030000}"/>
    <cellStyle name="20% - Colore 4 7 5" xfId="3040" xr:uid="{00000000-0005-0000-0000-00001B030000}"/>
    <cellStyle name="20% - Colore 4 8" xfId="99" xr:uid="{00000000-0005-0000-0000-000050020000}"/>
    <cellStyle name="20% - Colore 4 8 2" xfId="816" xr:uid="{00000000-0005-0000-0000-000051020000}"/>
    <cellStyle name="20% - Colore 4 8 3" xfId="2503" xr:uid="{00000000-0005-0000-0000-000052020000}"/>
    <cellStyle name="20% - Colore 4 8 4" xfId="3041" xr:uid="{00000000-0005-0000-0000-00001F030000}"/>
    <cellStyle name="20% - Colore 4 8 4 2" xfId="3042" xr:uid="{00000000-0005-0000-0000-000020030000}"/>
    <cellStyle name="20% - Colore 4 8 5" xfId="3043" xr:uid="{00000000-0005-0000-0000-000021030000}"/>
    <cellStyle name="20% - Colore 4 9" xfId="100" xr:uid="{00000000-0005-0000-0000-000053020000}"/>
    <cellStyle name="20% - Colore 4 9 2" xfId="817" xr:uid="{00000000-0005-0000-0000-000054020000}"/>
    <cellStyle name="20% - Colore 4 9 3" xfId="2504" xr:uid="{00000000-0005-0000-0000-000055020000}"/>
    <cellStyle name="20% - Colore 4 9 4" xfId="3044" xr:uid="{00000000-0005-0000-0000-000025030000}"/>
    <cellStyle name="20% - Colore 4 9 4 2" xfId="3045" xr:uid="{00000000-0005-0000-0000-000026030000}"/>
    <cellStyle name="20% - Colore 4 9 5" xfId="3046" xr:uid="{00000000-0005-0000-0000-000027030000}"/>
    <cellStyle name="20% - Colore 5" xfId="101" xr:uid="{00000000-0005-0000-0000-000056020000}"/>
    <cellStyle name="20% - Colore 5 2" xfId="102" xr:uid="{00000000-0005-0000-0000-000057020000}"/>
    <cellStyle name="20% - Colore 5 2 2" xfId="819" xr:uid="{00000000-0005-0000-0000-000058020000}"/>
    <cellStyle name="20% - Colore 5 2 3" xfId="2505" xr:uid="{00000000-0005-0000-0000-000059020000}"/>
    <cellStyle name="20% - Colore 5 2 4" xfId="3047" xr:uid="{00000000-0005-0000-0000-00002C030000}"/>
    <cellStyle name="20% - Colore 5 2 4 2" xfId="3048" xr:uid="{00000000-0005-0000-0000-00002D030000}"/>
    <cellStyle name="20% - Colore 5 2 5" xfId="3049" xr:uid="{00000000-0005-0000-0000-00002E030000}"/>
    <cellStyle name="20% - Colore 5 3" xfId="289" xr:uid="{00000000-0005-0000-0000-00005A020000}"/>
    <cellStyle name="20% - Colore 5 3 2" xfId="820" xr:uid="{00000000-0005-0000-0000-00005B020000}"/>
    <cellStyle name="20% - Colore 5 3 2 2" xfId="2506" xr:uid="{00000000-0005-0000-0000-00005C020000}"/>
    <cellStyle name="20% - Colore 5 3 3" xfId="2507" xr:uid="{00000000-0005-0000-0000-00005D020000}"/>
    <cellStyle name="20% - Colore 5 3 4" xfId="3050" xr:uid="{00000000-0005-0000-0000-000033030000}"/>
    <cellStyle name="20% - Colore 5 3 4 2" xfId="3051" xr:uid="{00000000-0005-0000-0000-000034030000}"/>
    <cellStyle name="20% - Colore 5 3 5" xfId="3052" xr:uid="{00000000-0005-0000-0000-000035030000}"/>
    <cellStyle name="20% - Colore 5 4" xfId="821" xr:uid="{00000000-0005-0000-0000-00005E020000}"/>
    <cellStyle name="20% - Colore 5 4 2" xfId="2508" xr:uid="{00000000-0005-0000-0000-00005F020000}"/>
    <cellStyle name="20% - Colore 5 5" xfId="818" xr:uid="{00000000-0005-0000-0000-000060020000}"/>
    <cellStyle name="20% - Colore 5 6" xfId="2509" xr:uid="{00000000-0005-0000-0000-000061020000}"/>
    <cellStyle name="20% - Colore 5 7" xfId="2510" xr:uid="{00000000-0005-0000-0000-000062020000}"/>
    <cellStyle name="20% - Colore 5 8" xfId="3053" xr:uid="{00000000-0005-0000-0000-00003B030000}"/>
    <cellStyle name="20% - Colore 5 8 2" xfId="3054" xr:uid="{00000000-0005-0000-0000-00003C030000}"/>
    <cellStyle name="20% - Colore 5 9" xfId="3055" xr:uid="{00000000-0005-0000-0000-00003D030000}"/>
    <cellStyle name="20% - Colore 6" xfId="103" xr:uid="{00000000-0005-0000-0000-000063020000}"/>
    <cellStyle name="20% - Colore 6 2" xfId="104" xr:uid="{00000000-0005-0000-0000-000064020000}"/>
    <cellStyle name="20% - Colore 6 2 2" xfId="823" xr:uid="{00000000-0005-0000-0000-000065020000}"/>
    <cellStyle name="20% - Colore 6 2 3" xfId="2511" xr:uid="{00000000-0005-0000-0000-000066020000}"/>
    <cellStyle name="20% - Colore 6 2 4" xfId="3056" xr:uid="{00000000-0005-0000-0000-000042030000}"/>
    <cellStyle name="20% - Colore 6 2 4 2" xfId="3057" xr:uid="{00000000-0005-0000-0000-000043030000}"/>
    <cellStyle name="20% - Colore 6 2 5" xfId="3058" xr:uid="{00000000-0005-0000-0000-000044030000}"/>
    <cellStyle name="20% - Colore 6 3" xfId="290" xr:uid="{00000000-0005-0000-0000-000067020000}"/>
    <cellStyle name="20% - Colore 6 3 2" xfId="824" xr:uid="{00000000-0005-0000-0000-000068020000}"/>
    <cellStyle name="20% - Colore 6 3 2 2" xfId="2512" xr:uid="{00000000-0005-0000-0000-000069020000}"/>
    <cellStyle name="20% - Colore 6 3 3" xfId="2513" xr:uid="{00000000-0005-0000-0000-00006A020000}"/>
    <cellStyle name="20% - Colore 6 3 4" xfId="3059" xr:uid="{00000000-0005-0000-0000-000049030000}"/>
    <cellStyle name="20% - Colore 6 3 4 2" xfId="3060" xr:uid="{00000000-0005-0000-0000-00004A030000}"/>
    <cellStyle name="20% - Colore 6 3 5" xfId="3061" xr:uid="{00000000-0005-0000-0000-00004B030000}"/>
    <cellStyle name="20% - Colore 6 4" xfId="825" xr:uid="{00000000-0005-0000-0000-00006B020000}"/>
    <cellStyle name="20% - Colore 6 4 2" xfId="2514" xr:uid="{00000000-0005-0000-0000-00006C020000}"/>
    <cellStyle name="20% - Colore 6 5" xfId="822" xr:uid="{00000000-0005-0000-0000-00006D020000}"/>
    <cellStyle name="20% - Colore 6 6" xfId="2515" xr:uid="{00000000-0005-0000-0000-00006E020000}"/>
    <cellStyle name="20% - Colore 6 7" xfId="2516" xr:uid="{00000000-0005-0000-0000-00006F020000}"/>
    <cellStyle name="20% - Colore 6 8" xfId="3062" xr:uid="{00000000-0005-0000-0000-000051030000}"/>
    <cellStyle name="20% - Colore 6 8 2" xfId="3063" xr:uid="{00000000-0005-0000-0000-000052030000}"/>
    <cellStyle name="20% - Colore 6 9" xfId="3064" xr:uid="{00000000-0005-0000-0000-000053030000}"/>
    <cellStyle name="40% - Accent1 2" xfId="221" xr:uid="{00000000-0005-0000-0000-000070020000}"/>
    <cellStyle name="40% - Accent1 2 10" xfId="826" xr:uid="{00000000-0005-0000-0000-000071020000}"/>
    <cellStyle name="40% - Accent1 2 10 2" xfId="827" xr:uid="{00000000-0005-0000-0000-000072020000}"/>
    <cellStyle name="40% - Accent1 2 11" xfId="828" xr:uid="{00000000-0005-0000-0000-000073020000}"/>
    <cellStyle name="40% - Accent1 2 11 2" xfId="829" xr:uid="{00000000-0005-0000-0000-000074020000}"/>
    <cellStyle name="40% - Accent1 2 12" xfId="830" xr:uid="{00000000-0005-0000-0000-000075020000}"/>
    <cellStyle name="40% - Accent1 2 12 2" xfId="831" xr:uid="{00000000-0005-0000-0000-000076020000}"/>
    <cellStyle name="40% - Accent1 2 13" xfId="832" xr:uid="{00000000-0005-0000-0000-000077020000}"/>
    <cellStyle name="40% - Accent1 2 13 2" xfId="833" xr:uid="{00000000-0005-0000-0000-000078020000}"/>
    <cellStyle name="40% - Accent1 2 14" xfId="834" xr:uid="{00000000-0005-0000-0000-000079020000}"/>
    <cellStyle name="40% - Accent1 2 14 2" xfId="835" xr:uid="{00000000-0005-0000-0000-00007A020000}"/>
    <cellStyle name="40% - Accent1 2 15" xfId="836" xr:uid="{00000000-0005-0000-0000-00007B020000}"/>
    <cellStyle name="40% - Accent1 2 15 2" xfId="837" xr:uid="{00000000-0005-0000-0000-00007C020000}"/>
    <cellStyle name="40% - Accent1 2 16" xfId="838" xr:uid="{00000000-0005-0000-0000-00007D020000}"/>
    <cellStyle name="40% - Accent1 2 16 2" xfId="839" xr:uid="{00000000-0005-0000-0000-00007E020000}"/>
    <cellStyle name="40% - Accent1 2 17" xfId="840" xr:uid="{00000000-0005-0000-0000-00007F020000}"/>
    <cellStyle name="40% - Accent1 2 17 2" xfId="841" xr:uid="{00000000-0005-0000-0000-000080020000}"/>
    <cellStyle name="40% - Accent1 2 18" xfId="2517" xr:uid="{00000000-0005-0000-0000-000081020000}"/>
    <cellStyle name="40% - Accent1 2 18 2" xfId="2822" xr:uid="{00000000-0005-0000-0000-000081020000}"/>
    <cellStyle name="40% - Accent1 2 19" xfId="2747" xr:uid="{00000000-0005-0000-0000-00004E000000}"/>
    <cellStyle name="40% - Accent1 2 2" xfId="352" xr:uid="{00000000-0005-0000-0000-000082020000}"/>
    <cellStyle name="40% - Accent1 2 2 2" xfId="843" xr:uid="{00000000-0005-0000-0000-000083020000}"/>
    <cellStyle name="40% - Accent1 2 2 3" xfId="842" xr:uid="{00000000-0005-0000-0000-000084020000}"/>
    <cellStyle name="40% - Accent1 2 2 4" xfId="2772" xr:uid="{00000000-0005-0000-0000-00004F000000}"/>
    <cellStyle name="40% - Accent1 2 2 5" xfId="3065" xr:uid="{00000000-0005-0000-0000-00006C030000}"/>
    <cellStyle name="40% - Accent1 2 20" xfId="3066" xr:uid="{00000000-0005-0000-0000-00006D030000}"/>
    <cellStyle name="40% - Accent1 2 21" xfId="3499" xr:uid="{00000000-0005-0000-0000-00009C0B0000}"/>
    <cellStyle name="40% - Accent1 2 3" xfId="844" xr:uid="{00000000-0005-0000-0000-000085020000}"/>
    <cellStyle name="40% - Accent1 2 3 2" xfId="845" xr:uid="{00000000-0005-0000-0000-000086020000}"/>
    <cellStyle name="40% - Accent1 2 4" xfId="846" xr:uid="{00000000-0005-0000-0000-000087020000}"/>
    <cellStyle name="40% - Accent1 2 4 2" xfId="847" xr:uid="{00000000-0005-0000-0000-000088020000}"/>
    <cellStyle name="40% - Accent1 2 5" xfId="848" xr:uid="{00000000-0005-0000-0000-000089020000}"/>
    <cellStyle name="40% - Accent1 2 5 2" xfId="849" xr:uid="{00000000-0005-0000-0000-00008A020000}"/>
    <cellStyle name="40% - Accent1 2 6" xfId="850" xr:uid="{00000000-0005-0000-0000-00008B020000}"/>
    <cellStyle name="40% - Accent1 2 6 2" xfId="851" xr:uid="{00000000-0005-0000-0000-00008C020000}"/>
    <cellStyle name="40% - Accent1 2 7" xfId="852" xr:uid="{00000000-0005-0000-0000-00008D020000}"/>
    <cellStyle name="40% - Accent1 2 7 2" xfId="853" xr:uid="{00000000-0005-0000-0000-00008E020000}"/>
    <cellStyle name="40% - Accent1 2 8" xfId="854" xr:uid="{00000000-0005-0000-0000-00008F020000}"/>
    <cellStyle name="40% - Accent1 2 8 2" xfId="855" xr:uid="{00000000-0005-0000-0000-000090020000}"/>
    <cellStyle name="40% - Accent1 2 9" xfId="856" xr:uid="{00000000-0005-0000-0000-000091020000}"/>
    <cellStyle name="40% - Accent1 2 9 2" xfId="857" xr:uid="{00000000-0005-0000-0000-000092020000}"/>
    <cellStyle name="40% - Accent1 3 10" xfId="858" xr:uid="{00000000-0005-0000-0000-000093020000}"/>
    <cellStyle name="40% - Accent1 3 10 2" xfId="859" xr:uid="{00000000-0005-0000-0000-000094020000}"/>
    <cellStyle name="40% - Accent1 3 11" xfId="860" xr:uid="{00000000-0005-0000-0000-000095020000}"/>
    <cellStyle name="40% - Accent1 3 11 2" xfId="861" xr:uid="{00000000-0005-0000-0000-000096020000}"/>
    <cellStyle name="40% - Accent1 3 12" xfId="862" xr:uid="{00000000-0005-0000-0000-000097020000}"/>
    <cellStyle name="40% - Accent1 3 12 2" xfId="863" xr:uid="{00000000-0005-0000-0000-000098020000}"/>
    <cellStyle name="40% - Accent1 3 13" xfId="864" xr:uid="{00000000-0005-0000-0000-000099020000}"/>
    <cellStyle name="40% - Accent1 3 13 2" xfId="865" xr:uid="{00000000-0005-0000-0000-00009A020000}"/>
    <cellStyle name="40% - Accent1 3 14" xfId="866" xr:uid="{00000000-0005-0000-0000-00009B020000}"/>
    <cellStyle name="40% - Accent1 3 14 2" xfId="867" xr:uid="{00000000-0005-0000-0000-00009C020000}"/>
    <cellStyle name="40% - Accent1 3 15" xfId="868" xr:uid="{00000000-0005-0000-0000-00009D020000}"/>
    <cellStyle name="40% - Accent1 3 15 2" xfId="869" xr:uid="{00000000-0005-0000-0000-00009E020000}"/>
    <cellStyle name="40% - Accent1 3 16" xfId="870" xr:uid="{00000000-0005-0000-0000-00009F020000}"/>
    <cellStyle name="40% - Accent1 3 16 2" xfId="871" xr:uid="{00000000-0005-0000-0000-0000A0020000}"/>
    <cellStyle name="40% - Accent1 3 17" xfId="872" xr:uid="{00000000-0005-0000-0000-0000A1020000}"/>
    <cellStyle name="40% - Accent1 3 17 2" xfId="873" xr:uid="{00000000-0005-0000-0000-0000A2020000}"/>
    <cellStyle name="40% - Accent1 3 2" xfId="874" xr:uid="{00000000-0005-0000-0000-0000A3020000}"/>
    <cellStyle name="40% - Accent1 3 2 2" xfId="875" xr:uid="{00000000-0005-0000-0000-0000A4020000}"/>
    <cellStyle name="40% - Accent1 3 3" xfId="876" xr:uid="{00000000-0005-0000-0000-0000A5020000}"/>
    <cellStyle name="40% - Accent1 3 3 2" xfId="877" xr:uid="{00000000-0005-0000-0000-0000A6020000}"/>
    <cellStyle name="40% - Accent1 3 4" xfId="878" xr:uid="{00000000-0005-0000-0000-0000A7020000}"/>
    <cellStyle name="40% - Accent1 3 4 2" xfId="879" xr:uid="{00000000-0005-0000-0000-0000A8020000}"/>
    <cellStyle name="40% - Accent1 3 5" xfId="880" xr:uid="{00000000-0005-0000-0000-0000A9020000}"/>
    <cellStyle name="40% - Accent1 3 5 2" xfId="881" xr:uid="{00000000-0005-0000-0000-0000AA020000}"/>
    <cellStyle name="40% - Accent1 3 6" xfId="882" xr:uid="{00000000-0005-0000-0000-0000AB020000}"/>
    <cellStyle name="40% - Accent1 3 6 2" xfId="883" xr:uid="{00000000-0005-0000-0000-0000AC020000}"/>
    <cellStyle name="40% - Accent1 3 7" xfId="884" xr:uid="{00000000-0005-0000-0000-0000AD020000}"/>
    <cellStyle name="40% - Accent1 3 7 2" xfId="885" xr:uid="{00000000-0005-0000-0000-0000AE020000}"/>
    <cellStyle name="40% - Accent1 3 8" xfId="886" xr:uid="{00000000-0005-0000-0000-0000AF020000}"/>
    <cellStyle name="40% - Accent1 3 8 2" xfId="887" xr:uid="{00000000-0005-0000-0000-0000B0020000}"/>
    <cellStyle name="40% - Accent1 3 9" xfId="888" xr:uid="{00000000-0005-0000-0000-0000B1020000}"/>
    <cellStyle name="40% - Accent1 3 9 2" xfId="889" xr:uid="{00000000-0005-0000-0000-0000B2020000}"/>
    <cellStyle name="40% - Accent2 2" xfId="222" xr:uid="{00000000-0005-0000-0000-0000B3020000}"/>
    <cellStyle name="40% - Accent2 2 10" xfId="890" xr:uid="{00000000-0005-0000-0000-0000B4020000}"/>
    <cellStyle name="40% - Accent2 2 10 2" xfId="891" xr:uid="{00000000-0005-0000-0000-0000B5020000}"/>
    <cellStyle name="40% - Accent2 2 11" xfId="892" xr:uid="{00000000-0005-0000-0000-0000B6020000}"/>
    <cellStyle name="40% - Accent2 2 11 2" xfId="893" xr:uid="{00000000-0005-0000-0000-0000B7020000}"/>
    <cellStyle name="40% - Accent2 2 12" xfId="894" xr:uid="{00000000-0005-0000-0000-0000B8020000}"/>
    <cellStyle name="40% - Accent2 2 12 2" xfId="895" xr:uid="{00000000-0005-0000-0000-0000B9020000}"/>
    <cellStyle name="40% - Accent2 2 13" xfId="896" xr:uid="{00000000-0005-0000-0000-0000BA020000}"/>
    <cellStyle name="40% - Accent2 2 13 2" xfId="897" xr:uid="{00000000-0005-0000-0000-0000BB020000}"/>
    <cellStyle name="40% - Accent2 2 14" xfId="898" xr:uid="{00000000-0005-0000-0000-0000BC020000}"/>
    <cellStyle name="40% - Accent2 2 14 2" xfId="899" xr:uid="{00000000-0005-0000-0000-0000BD020000}"/>
    <cellStyle name="40% - Accent2 2 15" xfId="900" xr:uid="{00000000-0005-0000-0000-0000BE020000}"/>
    <cellStyle name="40% - Accent2 2 15 2" xfId="901" xr:uid="{00000000-0005-0000-0000-0000BF020000}"/>
    <cellStyle name="40% - Accent2 2 16" xfId="902" xr:uid="{00000000-0005-0000-0000-0000C0020000}"/>
    <cellStyle name="40% - Accent2 2 16 2" xfId="903" xr:uid="{00000000-0005-0000-0000-0000C1020000}"/>
    <cellStyle name="40% - Accent2 2 17" xfId="904" xr:uid="{00000000-0005-0000-0000-0000C2020000}"/>
    <cellStyle name="40% - Accent2 2 17 2" xfId="905" xr:uid="{00000000-0005-0000-0000-0000C3020000}"/>
    <cellStyle name="40% - Accent2 2 18" xfId="2518" xr:uid="{00000000-0005-0000-0000-0000C4020000}"/>
    <cellStyle name="40% - Accent2 2 18 2" xfId="2823" xr:uid="{00000000-0005-0000-0000-0000C4020000}"/>
    <cellStyle name="40% - Accent2 2 19" xfId="2748" xr:uid="{00000000-0005-0000-0000-000050000000}"/>
    <cellStyle name="40% - Accent2 2 2" xfId="353" xr:uid="{00000000-0005-0000-0000-0000C5020000}"/>
    <cellStyle name="40% - Accent2 2 2 2" xfId="907" xr:uid="{00000000-0005-0000-0000-0000C6020000}"/>
    <cellStyle name="40% - Accent2 2 2 3" xfId="906" xr:uid="{00000000-0005-0000-0000-0000C7020000}"/>
    <cellStyle name="40% - Accent2 2 2 4" xfId="2773" xr:uid="{00000000-0005-0000-0000-000051000000}"/>
    <cellStyle name="40% - Accent2 2 2 5" xfId="3067" xr:uid="{00000000-0005-0000-0000-0000B4030000}"/>
    <cellStyle name="40% - Accent2 2 20" xfId="3068" xr:uid="{00000000-0005-0000-0000-0000B5030000}"/>
    <cellStyle name="40% - Accent2 2 21" xfId="3498" xr:uid="{00000000-0005-0000-0000-00009D0B0000}"/>
    <cellStyle name="40% - Accent2 2 3" xfId="908" xr:uid="{00000000-0005-0000-0000-0000C8020000}"/>
    <cellStyle name="40% - Accent2 2 3 2" xfId="909" xr:uid="{00000000-0005-0000-0000-0000C9020000}"/>
    <cellStyle name="40% - Accent2 2 4" xfId="910" xr:uid="{00000000-0005-0000-0000-0000CA020000}"/>
    <cellStyle name="40% - Accent2 2 4 2" xfId="911" xr:uid="{00000000-0005-0000-0000-0000CB020000}"/>
    <cellStyle name="40% - Accent2 2 5" xfId="912" xr:uid="{00000000-0005-0000-0000-0000CC020000}"/>
    <cellStyle name="40% - Accent2 2 5 2" xfId="913" xr:uid="{00000000-0005-0000-0000-0000CD020000}"/>
    <cellStyle name="40% - Accent2 2 6" xfId="914" xr:uid="{00000000-0005-0000-0000-0000CE020000}"/>
    <cellStyle name="40% - Accent2 2 6 2" xfId="915" xr:uid="{00000000-0005-0000-0000-0000CF020000}"/>
    <cellStyle name="40% - Accent2 2 7" xfId="916" xr:uid="{00000000-0005-0000-0000-0000D0020000}"/>
    <cellStyle name="40% - Accent2 2 7 2" xfId="917" xr:uid="{00000000-0005-0000-0000-0000D1020000}"/>
    <cellStyle name="40% - Accent2 2 8" xfId="918" xr:uid="{00000000-0005-0000-0000-0000D2020000}"/>
    <cellStyle name="40% - Accent2 2 8 2" xfId="919" xr:uid="{00000000-0005-0000-0000-0000D3020000}"/>
    <cellStyle name="40% - Accent2 2 9" xfId="920" xr:uid="{00000000-0005-0000-0000-0000D4020000}"/>
    <cellStyle name="40% - Accent2 2 9 2" xfId="921" xr:uid="{00000000-0005-0000-0000-0000D5020000}"/>
    <cellStyle name="40% - Accent2 3 10" xfId="922" xr:uid="{00000000-0005-0000-0000-0000D6020000}"/>
    <cellStyle name="40% - Accent2 3 10 2" xfId="923" xr:uid="{00000000-0005-0000-0000-0000D7020000}"/>
    <cellStyle name="40% - Accent2 3 11" xfId="924" xr:uid="{00000000-0005-0000-0000-0000D8020000}"/>
    <cellStyle name="40% - Accent2 3 11 2" xfId="925" xr:uid="{00000000-0005-0000-0000-0000D9020000}"/>
    <cellStyle name="40% - Accent2 3 12" xfId="926" xr:uid="{00000000-0005-0000-0000-0000DA020000}"/>
    <cellStyle name="40% - Accent2 3 12 2" xfId="927" xr:uid="{00000000-0005-0000-0000-0000DB020000}"/>
    <cellStyle name="40% - Accent2 3 13" xfId="928" xr:uid="{00000000-0005-0000-0000-0000DC020000}"/>
    <cellStyle name="40% - Accent2 3 13 2" xfId="929" xr:uid="{00000000-0005-0000-0000-0000DD020000}"/>
    <cellStyle name="40% - Accent2 3 14" xfId="930" xr:uid="{00000000-0005-0000-0000-0000DE020000}"/>
    <cellStyle name="40% - Accent2 3 14 2" xfId="931" xr:uid="{00000000-0005-0000-0000-0000DF020000}"/>
    <cellStyle name="40% - Accent2 3 15" xfId="932" xr:uid="{00000000-0005-0000-0000-0000E0020000}"/>
    <cellStyle name="40% - Accent2 3 15 2" xfId="933" xr:uid="{00000000-0005-0000-0000-0000E1020000}"/>
    <cellStyle name="40% - Accent2 3 16" xfId="934" xr:uid="{00000000-0005-0000-0000-0000E2020000}"/>
    <cellStyle name="40% - Accent2 3 16 2" xfId="935" xr:uid="{00000000-0005-0000-0000-0000E3020000}"/>
    <cellStyle name="40% - Accent2 3 17" xfId="936" xr:uid="{00000000-0005-0000-0000-0000E4020000}"/>
    <cellStyle name="40% - Accent2 3 17 2" xfId="937" xr:uid="{00000000-0005-0000-0000-0000E5020000}"/>
    <cellStyle name="40% - Accent2 3 2" xfId="938" xr:uid="{00000000-0005-0000-0000-0000E6020000}"/>
    <cellStyle name="40% - Accent2 3 2 2" xfId="939" xr:uid="{00000000-0005-0000-0000-0000E7020000}"/>
    <cellStyle name="40% - Accent2 3 3" xfId="940" xr:uid="{00000000-0005-0000-0000-0000E8020000}"/>
    <cellStyle name="40% - Accent2 3 3 2" xfId="941" xr:uid="{00000000-0005-0000-0000-0000E9020000}"/>
    <cellStyle name="40% - Accent2 3 4" xfId="942" xr:uid="{00000000-0005-0000-0000-0000EA020000}"/>
    <cellStyle name="40% - Accent2 3 4 2" xfId="943" xr:uid="{00000000-0005-0000-0000-0000EB020000}"/>
    <cellStyle name="40% - Accent2 3 5" xfId="944" xr:uid="{00000000-0005-0000-0000-0000EC020000}"/>
    <cellStyle name="40% - Accent2 3 5 2" xfId="945" xr:uid="{00000000-0005-0000-0000-0000ED020000}"/>
    <cellStyle name="40% - Accent2 3 6" xfId="946" xr:uid="{00000000-0005-0000-0000-0000EE020000}"/>
    <cellStyle name="40% - Accent2 3 6 2" xfId="947" xr:uid="{00000000-0005-0000-0000-0000EF020000}"/>
    <cellStyle name="40% - Accent2 3 7" xfId="948" xr:uid="{00000000-0005-0000-0000-0000F0020000}"/>
    <cellStyle name="40% - Accent2 3 7 2" xfId="949" xr:uid="{00000000-0005-0000-0000-0000F1020000}"/>
    <cellStyle name="40% - Accent2 3 8" xfId="950" xr:uid="{00000000-0005-0000-0000-0000F2020000}"/>
    <cellStyle name="40% - Accent2 3 8 2" xfId="951" xr:uid="{00000000-0005-0000-0000-0000F3020000}"/>
    <cellStyle name="40% - Accent2 3 9" xfId="952" xr:uid="{00000000-0005-0000-0000-0000F4020000}"/>
    <cellStyle name="40% - Accent2 3 9 2" xfId="953" xr:uid="{00000000-0005-0000-0000-0000F5020000}"/>
    <cellStyle name="40% - Accent3 2" xfId="223" xr:uid="{00000000-0005-0000-0000-0000F6020000}"/>
    <cellStyle name="40% - Accent3 2 10" xfId="954" xr:uid="{00000000-0005-0000-0000-0000F7020000}"/>
    <cellStyle name="40% - Accent3 2 10 2" xfId="955" xr:uid="{00000000-0005-0000-0000-0000F8020000}"/>
    <cellStyle name="40% - Accent3 2 11" xfId="956" xr:uid="{00000000-0005-0000-0000-0000F9020000}"/>
    <cellStyle name="40% - Accent3 2 11 2" xfId="957" xr:uid="{00000000-0005-0000-0000-0000FA020000}"/>
    <cellStyle name="40% - Accent3 2 12" xfId="958" xr:uid="{00000000-0005-0000-0000-0000FB020000}"/>
    <cellStyle name="40% - Accent3 2 12 2" xfId="959" xr:uid="{00000000-0005-0000-0000-0000FC020000}"/>
    <cellStyle name="40% - Accent3 2 13" xfId="960" xr:uid="{00000000-0005-0000-0000-0000FD020000}"/>
    <cellStyle name="40% - Accent3 2 13 2" xfId="961" xr:uid="{00000000-0005-0000-0000-0000FE020000}"/>
    <cellStyle name="40% - Accent3 2 14" xfId="962" xr:uid="{00000000-0005-0000-0000-0000FF020000}"/>
    <cellStyle name="40% - Accent3 2 14 2" xfId="963" xr:uid="{00000000-0005-0000-0000-000000030000}"/>
    <cellStyle name="40% - Accent3 2 15" xfId="964" xr:uid="{00000000-0005-0000-0000-000001030000}"/>
    <cellStyle name="40% - Accent3 2 15 2" xfId="965" xr:uid="{00000000-0005-0000-0000-000002030000}"/>
    <cellStyle name="40% - Accent3 2 16" xfId="966" xr:uid="{00000000-0005-0000-0000-000003030000}"/>
    <cellStyle name="40% - Accent3 2 16 2" xfId="967" xr:uid="{00000000-0005-0000-0000-000004030000}"/>
    <cellStyle name="40% - Accent3 2 17" xfId="968" xr:uid="{00000000-0005-0000-0000-000005030000}"/>
    <cellStyle name="40% - Accent3 2 17 2" xfId="969" xr:uid="{00000000-0005-0000-0000-000006030000}"/>
    <cellStyle name="40% - Accent3 2 18" xfId="2519" xr:uid="{00000000-0005-0000-0000-000007030000}"/>
    <cellStyle name="40% - Accent3 2 18 2" xfId="2824" xr:uid="{00000000-0005-0000-0000-000007030000}"/>
    <cellStyle name="40% - Accent3 2 19" xfId="2749" xr:uid="{00000000-0005-0000-0000-000052000000}"/>
    <cellStyle name="40% - Accent3 2 2" xfId="354" xr:uid="{00000000-0005-0000-0000-000008030000}"/>
    <cellStyle name="40% - Accent3 2 2 2" xfId="971" xr:uid="{00000000-0005-0000-0000-000009030000}"/>
    <cellStyle name="40% - Accent3 2 2 3" xfId="970" xr:uid="{00000000-0005-0000-0000-00000A030000}"/>
    <cellStyle name="40% - Accent3 2 2 4" xfId="2774" xr:uid="{00000000-0005-0000-0000-000053000000}"/>
    <cellStyle name="40% - Accent3 2 2 5" xfId="3069" xr:uid="{00000000-0005-0000-0000-0000FC030000}"/>
    <cellStyle name="40% - Accent3 2 20" xfId="3070" xr:uid="{00000000-0005-0000-0000-0000FD030000}"/>
    <cellStyle name="40% - Accent3 2 21" xfId="3497" xr:uid="{00000000-0005-0000-0000-00009E0B0000}"/>
    <cellStyle name="40% - Accent3 2 3" xfId="972" xr:uid="{00000000-0005-0000-0000-00000B030000}"/>
    <cellStyle name="40% - Accent3 2 3 2" xfId="973" xr:uid="{00000000-0005-0000-0000-00000C030000}"/>
    <cellStyle name="40% - Accent3 2 4" xfId="974" xr:uid="{00000000-0005-0000-0000-00000D030000}"/>
    <cellStyle name="40% - Accent3 2 4 2" xfId="975" xr:uid="{00000000-0005-0000-0000-00000E030000}"/>
    <cellStyle name="40% - Accent3 2 5" xfId="976" xr:uid="{00000000-0005-0000-0000-00000F030000}"/>
    <cellStyle name="40% - Accent3 2 5 2" xfId="977" xr:uid="{00000000-0005-0000-0000-000010030000}"/>
    <cellStyle name="40% - Accent3 2 6" xfId="978" xr:uid="{00000000-0005-0000-0000-000011030000}"/>
    <cellStyle name="40% - Accent3 2 6 2" xfId="979" xr:uid="{00000000-0005-0000-0000-000012030000}"/>
    <cellStyle name="40% - Accent3 2 7" xfId="980" xr:uid="{00000000-0005-0000-0000-000013030000}"/>
    <cellStyle name="40% - Accent3 2 7 2" xfId="981" xr:uid="{00000000-0005-0000-0000-000014030000}"/>
    <cellStyle name="40% - Accent3 2 8" xfId="982" xr:uid="{00000000-0005-0000-0000-000015030000}"/>
    <cellStyle name="40% - Accent3 2 8 2" xfId="983" xr:uid="{00000000-0005-0000-0000-000016030000}"/>
    <cellStyle name="40% - Accent3 2 9" xfId="984" xr:uid="{00000000-0005-0000-0000-000017030000}"/>
    <cellStyle name="40% - Accent3 2 9 2" xfId="985" xr:uid="{00000000-0005-0000-0000-000018030000}"/>
    <cellStyle name="40% - Accent3 3 10" xfId="986" xr:uid="{00000000-0005-0000-0000-000019030000}"/>
    <cellStyle name="40% - Accent3 3 10 2" xfId="987" xr:uid="{00000000-0005-0000-0000-00001A030000}"/>
    <cellStyle name="40% - Accent3 3 11" xfId="988" xr:uid="{00000000-0005-0000-0000-00001B030000}"/>
    <cellStyle name="40% - Accent3 3 11 2" xfId="989" xr:uid="{00000000-0005-0000-0000-00001C030000}"/>
    <cellStyle name="40% - Accent3 3 12" xfId="990" xr:uid="{00000000-0005-0000-0000-00001D030000}"/>
    <cellStyle name="40% - Accent3 3 12 2" xfId="991" xr:uid="{00000000-0005-0000-0000-00001E030000}"/>
    <cellStyle name="40% - Accent3 3 13" xfId="992" xr:uid="{00000000-0005-0000-0000-00001F030000}"/>
    <cellStyle name="40% - Accent3 3 13 2" xfId="993" xr:uid="{00000000-0005-0000-0000-000020030000}"/>
    <cellStyle name="40% - Accent3 3 14" xfId="994" xr:uid="{00000000-0005-0000-0000-000021030000}"/>
    <cellStyle name="40% - Accent3 3 14 2" xfId="995" xr:uid="{00000000-0005-0000-0000-000022030000}"/>
    <cellStyle name="40% - Accent3 3 15" xfId="996" xr:uid="{00000000-0005-0000-0000-000023030000}"/>
    <cellStyle name="40% - Accent3 3 15 2" xfId="997" xr:uid="{00000000-0005-0000-0000-000024030000}"/>
    <cellStyle name="40% - Accent3 3 16" xfId="998" xr:uid="{00000000-0005-0000-0000-000025030000}"/>
    <cellStyle name="40% - Accent3 3 16 2" xfId="999" xr:uid="{00000000-0005-0000-0000-000026030000}"/>
    <cellStyle name="40% - Accent3 3 17" xfId="1000" xr:uid="{00000000-0005-0000-0000-000027030000}"/>
    <cellStyle name="40% - Accent3 3 17 2" xfId="1001" xr:uid="{00000000-0005-0000-0000-000028030000}"/>
    <cellStyle name="40% - Accent3 3 2" xfId="1002" xr:uid="{00000000-0005-0000-0000-000029030000}"/>
    <cellStyle name="40% - Accent3 3 2 2" xfId="1003" xr:uid="{00000000-0005-0000-0000-00002A030000}"/>
    <cellStyle name="40% - Accent3 3 3" xfId="1004" xr:uid="{00000000-0005-0000-0000-00002B030000}"/>
    <cellStyle name="40% - Accent3 3 3 2" xfId="1005" xr:uid="{00000000-0005-0000-0000-00002C030000}"/>
    <cellStyle name="40% - Accent3 3 4" xfId="1006" xr:uid="{00000000-0005-0000-0000-00002D030000}"/>
    <cellStyle name="40% - Accent3 3 4 2" xfId="1007" xr:uid="{00000000-0005-0000-0000-00002E030000}"/>
    <cellStyle name="40% - Accent3 3 5" xfId="1008" xr:uid="{00000000-0005-0000-0000-00002F030000}"/>
    <cellStyle name="40% - Accent3 3 5 2" xfId="1009" xr:uid="{00000000-0005-0000-0000-000030030000}"/>
    <cellStyle name="40% - Accent3 3 6" xfId="1010" xr:uid="{00000000-0005-0000-0000-000031030000}"/>
    <cellStyle name="40% - Accent3 3 6 2" xfId="1011" xr:uid="{00000000-0005-0000-0000-000032030000}"/>
    <cellStyle name="40% - Accent3 3 7" xfId="1012" xr:uid="{00000000-0005-0000-0000-000033030000}"/>
    <cellStyle name="40% - Accent3 3 7 2" xfId="1013" xr:uid="{00000000-0005-0000-0000-000034030000}"/>
    <cellStyle name="40% - Accent3 3 8" xfId="1014" xr:uid="{00000000-0005-0000-0000-000035030000}"/>
    <cellStyle name="40% - Accent3 3 8 2" xfId="1015" xr:uid="{00000000-0005-0000-0000-000036030000}"/>
    <cellStyle name="40% - Accent3 3 9" xfId="1016" xr:uid="{00000000-0005-0000-0000-000037030000}"/>
    <cellStyle name="40% - Accent3 3 9 2" xfId="1017" xr:uid="{00000000-0005-0000-0000-000038030000}"/>
    <cellStyle name="40% - Accent4 2" xfId="224" xr:uid="{00000000-0005-0000-0000-000039030000}"/>
    <cellStyle name="40% - Accent4 2 10" xfId="1018" xr:uid="{00000000-0005-0000-0000-00003A030000}"/>
    <cellStyle name="40% - Accent4 2 10 2" xfId="1019" xr:uid="{00000000-0005-0000-0000-00003B030000}"/>
    <cellStyle name="40% - Accent4 2 11" xfId="1020" xr:uid="{00000000-0005-0000-0000-00003C030000}"/>
    <cellStyle name="40% - Accent4 2 11 2" xfId="1021" xr:uid="{00000000-0005-0000-0000-00003D030000}"/>
    <cellStyle name="40% - Accent4 2 12" xfId="1022" xr:uid="{00000000-0005-0000-0000-00003E030000}"/>
    <cellStyle name="40% - Accent4 2 12 2" xfId="1023" xr:uid="{00000000-0005-0000-0000-00003F030000}"/>
    <cellStyle name="40% - Accent4 2 13" xfId="1024" xr:uid="{00000000-0005-0000-0000-000040030000}"/>
    <cellStyle name="40% - Accent4 2 13 2" xfId="1025" xr:uid="{00000000-0005-0000-0000-000041030000}"/>
    <cellStyle name="40% - Accent4 2 14" xfId="1026" xr:uid="{00000000-0005-0000-0000-000042030000}"/>
    <cellStyle name="40% - Accent4 2 14 2" xfId="1027" xr:uid="{00000000-0005-0000-0000-000043030000}"/>
    <cellStyle name="40% - Accent4 2 15" xfId="1028" xr:uid="{00000000-0005-0000-0000-000044030000}"/>
    <cellStyle name="40% - Accent4 2 15 2" xfId="1029" xr:uid="{00000000-0005-0000-0000-000045030000}"/>
    <cellStyle name="40% - Accent4 2 16" xfId="1030" xr:uid="{00000000-0005-0000-0000-000046030000}"/>
    <cellStyle name="40% - Accent4 2 16 2" xfId="1031" xr:uid="{00000000-0005-0000-0000-000047030000}"/>
    <cellStyle name="40% - Accent4 2 17" xfId="1032" xr:uid="{00000000-0005-0000-0000-000048030000}"/>
    <cellStyle name="40% - Accent4 2 17 2" xfId="1033" xr:uid="{00000000-0005-0000-0000-000049030000}"/>
    <cellStyle name="40% - Accent4 2 18" xfId="2520" xr:uid="{00000000-0005-0000-0000-00004A030000}"/>
    <cellStyle name="40% - Accent4 2 18 2" xfId="2825" xr:uid="{00000000-0005-0000-0000-00004A030000}"/>
    <cellStyle name="40% - Accent4 2 19" xfId="2750" xr:uid="{00000000-0005-0000-0000-000054000000}"/>
    <cellStyle name="40% - Accent4 2 2" xfId="355" xr:uid="{00000000-0005-0000-0000-00004B030000}"/>
    <cellStyle name="40% - Accent4 2 2 2" xfId="1035" xr:uid="{00000000-0005-0000-0000-00004C030000}"/>
    <cellStyle name="40% - Accent4 2 2 3" xfId="1034" xr:uid="{00000000-0005-0000-0000-00004D030000}"/>
    <cellStyle name="40% - Accent4 2 2 4" xfId="2775" xr:uid="{00000000-0005-0000-0000-000055000000}"/>
    <cellStyle name="40% - Accent4 2 2 5" xfId="3071" xr:uid="{00000000-0005-0000-0000-000044040000}"/>
    <cellStyle name="40% - Accent4 2 20" xfId="3072" xr:uid="{00000000-0005-0000-0000-000045040000}"/>
    <cellStyle name="40% - Accent4 2 21" xfId="3496" xr:uid="{00000000-0005-0000-0000-00009F0B0000}"/>
    <cellStyle name="40% - Accent4 2 3" xfId="1036" xr:uid="{00000000-0005-0000-0000-00004E030000}"/>
    <cellStyle name="40% - Accent4 2 3 2" xfId="1037" xr:uid="{00000000-0005-0000-0000-00004F030000}"/>
    <cellStyle name="40% - Accent4 2 4" xfId="1038" xr:uid="{00000000-0005-0000-0000-000050030000}"/>
    <cellStyle name="40% - Accent4 2 4 2" xfId="1039" xr:uid="{00000000-0005-0000-0000-000051030000}"/>
    <cellStyle name="40% - Accent4 2 5" xfId="1040" xr:uid="{00000000-0005-0000-0000-000052030000}"/>
    <cellStyle name="40% - Accent4 2 5 2" xfId="1041" xr:uid="{00000000-0005-0000-0000-000053030000}"/>
    <cellStyle name="40% - Accent4 2 6" xfId="1042" xr:uid="{00000000-0005-0000-0000-000054030000}"/>
    <cellStyle name="40% - Accent4 2 6 2" xfId="1043" xr:uid="{00000000-0005-0000-0000-000055030000}"/>
    <cellStyle name="40% - Accent4 2 7" xfId="1044" xr:uid="{00000000-0005-0000-0000-000056030000}"/>
    <cellStyle name="40% - Accent4 2 7 2" xfId="1045" xr:uid="{00000000-0005-0000-0000-000057030000}"/>
    <cellStyle name="40% - Accent4 2 8" xfId="1046" xr:uid="{00000000-0005-0000-0000-000058030000}"/>
    <cellStyle name="40% - Accent4 2 8 2" xfId="1047" xr:uid="{00000000-0005-0000-0000-000059030000}"/>
    <cellStyle name="40% - Accent4 2 9" xfId="1048" xr:uid="{00000000-0005-0000-0000-00005A030000}"/>
    <cellStyle name="40% - Accent4 2 9 2" xfId="1049" xr:uid="{00000000-0005-0000-0000-00005B030000}"/>
    <cellStyle name="40% - Accent4 3 10" xfId="1050" xr:uid="{00000000-0005-0000-0000-00005C030000}"/>
    <cellStyle name="40% - Accent4 3 10 2" xfId="1051" xr:uid="{00000000-0005-0000-0000-00005D030000}"/>
    <cellStyle name="40% - Accent4 3 11" xfId="1052" xr:uid="{00000000-0005-0000-0000-00005E030000}"/>
    <cellStyle name="40% - Accent4 3 11 2" xfId="1053" xr:uid="{00000000-0005-0000-0000-00005F030000}"/>
    <cellStyle name="40% - Accent4 3 12" xfId="1054" xr:uid="{00000000-0005-0000-0000-000060030000}"/>
    <cellStyle name="40% - Accent4 3 12 2" xfId="1055" xr:uid="{00000000-0005-0000-0000-000061030000}"/>
    <cellStyle name="40% - Accent4 3 13" xfId="1056" xr:uid="{00000000-0005-0000-0000-000062030000}"/>
    <cellStyle name="40% - Accent4 3 13 2" xfId="1057" xr:uid="{00000000-0005-0000-0000-000063030000}"/>
    <cellStyle name="40% - Accent4 3 14" xfId="1058" xr:uid="{00000000-0005-0000-0000-000064030000}"/>
    <cellStyle name="40% - Accent4 3 14 2" xfId="1059" xr:uid="{00000000-0005-0000-0000-000065030000}"/>
    <cellStyle name="40% - Accent4 3 15" xfId="1060" xr:uid="{00000000-0005-0000-0000-000066030000}"/>
    <cellStyle name="40% - Accent4 3 15 2" xfId="1061" xr:uid="{00000000-0005-0000-0000-000067030000}"/>
    <cellStyle name="40% - Accent4 3 16" xfId="1062" xr:uid="{00000000-0005-0000-0000-000068030000}"/>
    <cellStyle name="40% - Accent4 3 16 2" xfId="1063" xr:uid="{00000000-0005-0000-0000-000069030000}"/>
    <cellStyle name="40% - Accent4 3 17" xfId="1064" xr:uid="{00000000-0005-0000-0000-00006A030000}"/>
    <cellStyle name="40% - Accent4 3 17 2" xfId="1065" xr:uid="{00000000-0005-0000-0000-00006B030000}"/>
    <cellStyle name="40% - Accent4 3 2" xfId="1066" xr:uid="{00000000-0005-0000-0000-00006C030000}"/>
    <cellStyle name="40% - Accent4 3 2 2" xfId="1067" xr:uid="{00000000-0005-0000-0000-00006D030000}"/>
    <cellStyle name="40% - Accent4 3 3" xfId="1068" xr:uid="{00000000-0005-0000-0000-00006E030000}"/>
    <cellStyle name="40% - Accent4 3 3 2" xfId="1069" xr:uid="{00000000-0005-0000-0000-00006F030000}"/>
    <cellStyle name="40% - Accent4 3 4" xfId="1070" xr:uid="{00000000-0005-0000-0000-000070030000}"/>
    <cellStyle name="40% - Accent4 3 4 2" xfId="1071" xr:uid="{00000000-0005-0000-0000-000071030000}"/>
    <cellStyle name="40% - Accent4 3 5" xfId="1072" xr:uid="{00000000-0005-0000-0000-000072030000}"/>
    <cellStyle name="40% - Accent4 3 5 2" xfId="1073" xr:uid="{00000000-0005-0000-0000-000073030000}"/>
    <cellStyle name="40% - Accent4 3 6" xfId="1074" xr:uid="{00000000-0005-0000-0000-000074030000}"/>
    <cellStyle name="40% - Accent4 3 6 2" xfId="1075" xr:uid="{00000000-0005-0000-0000-000075030000}"/>
    <cellStyle name="40% - Accent4 3 7" xfId="1076" xr:uid="{00000000-0005-0000-0000-000076030000}"/>
    <cellStyle name="40% - Accent4 3 7 2" xfId="1077" xr:uid="{00000000-0005-0000-0000-000077030000}"/>
    <cellStyle name="40% - Accent4 3 8" xfId="1078" xr:uid="{00000000-0005-0000-0000-000078030000}"/>
    <cellStyle name="40% - Accent4 3 8 2" xfId="1079" xr:uid="{00000000-0005-0000-0000-000079030000}"/>
    <cellStyle name="40% - Accent4 3 9" xfId="1080" xr:uid="{00000000-0005-0000-0000-00007A030000}"/>
    <cellStyle name="40% - Accent4 3 9 2" xfId="1081" xr:uid="{00000000-0005-0000-0000-00007B030000}"/>
    <cellStyle name="40% - Accent5 2" xfId="225" xr:uid="{00000000-0005-0000-0000-00007C030000}"/>
    <cellStyle name="40% - Accent5 2 10" xfId="1082" xr:uid="{00000000-0005-0000-0000-00007D030000}"/>
    <cellStyle name="40% - Accent5 2 10 2" xfId="1083" xr:uid="{00000000-0005-0000-0000-00007E030000}"/>
    <cellStyle name="40% - Accent5 2 11" xfId="1084" xr:uid="{00000000-0005-0000-0000-00007F030000}"/>
    <cellStyle name="40% - Accent5 2 11 2" xfId="1085" xr:uid="{00000000-0005-0000-0000-000080030000}"/>
    <cellStyle name="40% - Accent5 2 12" xfId="1086" xr:uid="{00000000-0005-0000-0000-000081030000}"/>
    <cellStyle name="40% - Accent5 2 12 2" xfId="1087" xr:uid="{00000000-0005-0000-0000-000082030000}"/>
    <cellStyle name="40% - Accent5 2 13" xfId="1088" xr:uid="{00000000-0005-0000-0000-000083030000}"/>
    <cellStyle name="40% - Accent5 2 13 2" xfId="1089" xr:uid="{00000000-0005-0000-0000-000084030000}"/>
    <cellStyle name="40% - Accent5 2 14" xfId="1090" xr:uid="{00000000-0005-0000-0000-000085030000}"/>
    <cellStyle name="40% - Accent5 2 14 2" xfId="1091" xr:uid="{00000000-0005-0000-0000-000086030000}"/>
    <cellStyle name="40% - Accent5 2 15" xfId="1092" xr:uid="{00000000-0005-0000-0000-000087030000}"/>
    <cellStyle name="40% - Accent5 2 15 2" xfId="1093" xr:uid="{00000000-0005-0000-0000-000088030000}"/>
    <cellStyle name="40% - Accent5 2 16" xfId="1094" xr:uid="{00000000-0005-0000-0000-000089030000}"/>
    <cellStyle name="40% - Accent5 2 16 2" xfId="1095" xr:uid="{00000000-0005-0000-0000-00008A030000}"/>
    <cellStyle name="40% - Accent5 2 17" xfId="1096" xr:uid="{00000000-0005-0000-0000-00008B030000}"/>
    <cellStyle name="40% - Accent5 2 17 2" xfId="1097" xr:uid="{00000000-0005-0000-0000-00008C030000}"/>
    <cellStyle name="40% - Accent5 2 18" xfId="2521" xr:uid="{00000000-0005-0000-0000-00008D030000}"/>
    <cellStyle name="40% - Accent5 2 18 2" xfId="2826" xr:uid="{00000000-0005-0000-0000-00008D030000}"/>
    <cellStyle name="40% - Accent5 2 19" xfId="2751" xr:uid="{00000000-0005-0000-0000-000056000000}"/>
    <cellStyle name="40% - Accent5 2 2" xfId="356" xr:uid="{00000000-0005-0000-0000-00008E030000}"/>
    <cellStyle name="40% - Accent5 2 2 2" xfId="1099" xr:uid="{00000000-0005-0000-0000-00008F030000}"/>
    <cellStyle name="40% - Accent5 2 2 3" xfId="1098" xr:uid="{00000000-0005-0000-0000-000090030000}"/>
    <cellStyle name="40% - Accent5 2 2 4" xfId="2776" xr:uid="{00000000-0005-0000-0000-000057000000}"/>
    <cellStyle name="40% - Accent5 2 2 5" xfId="3073" xr:uid="{00000000-0005-0000-0000-00008C040000}"/>
    <cellStyle name="40% - Accent5 2 20" xfId="3074" xr:uid="{00000000-0005-0000-0000-00008D040000}"/>
    <cellStyle name="40% - Accent5 2 21" xfId="3495" xr:uid="{00000000-0005-0000-0000-0000A00B0000}"/>
    <cellStyle name="40% - Accent5 2 3" xfId="1100" xr:uid="{00000000-0005-0000-0000-000091030000}"/>
    <cellStyle name="40% - Accent5 2 3 2" xfId="1101" xr:uid="{00000000-0005-0000-0000-000092030000}"/>
    <cellStyle name="40% - Accent5 2 4" xfId="1102" xr:uid="{00000000-0005-0000-0000-000093030000}"/>
    <cellStyle name="40% - Accent5 2 4 2" xfId="1103" xr:uid="{00000000-0005-0000-0000-000094030000}"/>
    <cellStyle name="40% - Accent5 2 5" xfId="1104" xr:uid="{00000000-0005-0000-0000-000095030000}"/>
    <cellStyle name="40% - Accent5 2 5 2" xfId="1105" xr:uid="{00000000-0005-0000-0000-000096030000}"/>
    <cellStyle name="40% - Accent5 2 6" xfId="1106" xr:uid="{00000000-0005-0000-0000-000097030000}"/>
    <cellStyle name="40% - Accent5 2 6 2" xfId="1107" xr:uid="{00000000-0005-0000-0000-000098030000}"/>
    <cellStyle name="40% - Accent5 2 7" xfId="1108" xr:uid="{00000000-0005-0000-0000-000099030000}"/>
    <cellStyle name="40% - Accent5 2 7 2" xfId="1109" xr:uid="{00000000-0005-0000-0000-00009A030000}"/>
    <cellStyle name="40% - Accent5 2 8" xfId="1110" xr:uid="{00000000-0005-0000-0000-00009B030000}"/>
    <cellStyle name="40% - Accent5 2 8 2" xfId="1111" xr:uid="{00000000-0005-0000-0000-00009C030000}"/>
    <cellStyle name="40% - Accent5 2 9" xfId="1112" xr:uid="{00000000-0005-0000-0000-00009D030000}"/>
    <cellStyle name="40% - Accent5 2 9 2" xfId="1113" xr:uid="{00000000-0005-0000-0000-00009E030000}"/>
    <cellStyle name="40% - Accent5 3 10" xfId="1114" xr:uid="{00000000-0005-0000-0000-00009F030000}"/>
    <cellStyle name="40% - Accent5 3 10 2" xfId="1115" xr:uid="{00000000-0005-0000-0000-0000A0030000}"/>
    <cellStyle name="40% - Accent5 3 11" xfId="1116" xr:uid="{00000000-0005-0000-0000-0000A1030000}"/>
    <cellStyle name="40% - Accent5 3 11 2" xfId="1117" xr:uid="{00000000-0005-0000-0000-0000A2030000}"/>
    <cellStyle name="40% - Accent5 3 12" xfId="1118" xr:uid="{00000000-0005-0000-0000-0000A3030000}"/>
    <cellStyle name="40% - Accent5 3 12 2" xfId="1119" xr:uid="{00000000-0005-0000-0000-0000A4030000}"/>
    <cellStyle name="40% - Accent5 3 13" xfId="1120" xr:uid="{00000000-0005-0000-0000-0000A5030000}"/>
    <cellStyle name="40% - Accent5 3 13 2" xfId="1121" xr:uid="{00000000-0005-0000-0000-0000A6030000}"/>
    <cellStyle name="40% - Accent5 3 14" xfId="1122" xr:uid="{00000000-0005-0000-0000-0000A7030000}"/>
    <cellStyle name="40% - Accent5 3 14 2" xfId="1123" xr:uid="{00000000-0005-0000-0000-0000A8030000}"/>
    <cellStyle name="40% - Accent5 3 15" xfId="1124" xr:uid="{00000000-0005-0000-0000-0000A9030000}"/>
    <cellStyle name="40% - Accent5 3 15 2" xfId="1125" xr:uid="{00000000-0005-0000-0000-0000AA030000}"/>
    <cellStyle name="40% - Accent5 3 16" xfId="1126" xr:uid="{00000000-0005-0000-0000-0000AB030000}"/>
    <cellStyle name="40% - Accent5 3 16 2" xfId="1127" xr:uid="{00000000-0005-0000-0000-0000AC030000}"/>
    <cellStyle name="40% - Accent5 3 17" xfId="1128" xr:uid="{00000000-0005-0000-0000-0000AD030000}"/>
    <cellStyle name="40% - Accent5 3 17 2" xfId="1129" xr:uid="{00000000-0005-0000-0000-0000AE030000}"/>
    <cellStyle name="40% - Accent5 3 2" xfId="1130" xr:uid="{00000000-0005-0000-0000-0000AF030000}"/>
    <cellStyle name="40% - Accent5 3 2 2" xfId="1131" xr:uid="{00000000-0005-0000-0000-0000B0030000}"/>
    <cellStyle name="40% - Accent5 3 3" xfId="1132" xr:uid="{00000000-0005-0000-0000-0000B1030000}"/>
    <cellStyle name="40% - Accent5 3 3 2" xfId="1133" xr:uid="{00000000-0005-0000-0000-0000B2030000}"/>
    <cellStyle name="40% - Accent5 3 4" xfId="1134" xr:uid="{00000000-0005-0000-0000-0000B3030000}"/>
    <cellStyle name="40% - Accent5 3 4 2" xfId="1135" xr:uid="{00000000-0005-0000-0000-0000B4030000}"/>
    <cellStyle name="40% - Accent5 3 5" xfId="1136" xr:uid="{00000000-0005-0000-0000-0000B5030000}"/>
    <cellStyle name="40% - Accent5 3 5 2" xfId="1137" xr:uid="{00000000-0005-0000-0000-0000B6030000}"/>
    <cellStyle name="40% - Accent5 3 6" xfId="1138" xr:uid="{00000000-0005-0000-0000-0000B7030000}"/>
    <cellStyle name="40% - Accent5 3 6 2" xfId="1139" xr:uid="{00000000-0005-0000-0000-0000B8030000}"/>
    <cellStyle name="40% - Accent5 3 7" xfId="1140" xr:uid="{00000000-0005-0000-0000-0000B9030000}"/>
    <cellStyle name="40% - Accent5 3 7 2" xfId="1141" xr:uid="{00000000-0005-0000-0000-0000BA030000}"/>
    <cellStyle name="40% - Accent5 3 8" xfId="1142" xr:uid="{00000000-0005-0000-0000-0000BB030000}"/>
    <cellStyle name="40% - Accent5 3 8 2" xfId="1143" xr:uid="{00000000-0005-0000-0000-0000BC030000}"/>
    <cellStyle name="40% - Accent5 3 9" xfId="1144" xr:uid="{00000000-0005-0000-0000-0000BD030000}"/>
    <cellStyle name="40% - Accent5 3 9 2" xfId="1145" xr:uid="{00000000-0005-0000-0000-0000BE030000}"/>
    <cellStyle name="40% - Accent6 2" xfId="226" xr:uid="{00000000-0005-0000-0000-0000BF030000}"/>
    <cellStyle name="40% - Accent6 2 10" xfId="1146" xr:uid="{00000000-0005-0000-0000-0000C0030000}"/>
    <cellStyle name="40% - Accent6 2 10 2" xfId="1147" xr:uid="{00000000-0005-0000-0000-0000C1030000}"/>
    <cellStyle name="40% - Accent6 2 11" xfId="1148" xr:uid="{00000000-0005-0000-0000-0000C2030000}"/>
    <cellStyle name="40% - Accent6 2 11 2" xfId="1149" xr:uid="{00000000-0005-0000-0000-0000C3030000}"/>
    <cellStyle name="40% - Accent6 2 12" xfId="1150" xr:uid="{00000000-0005-0000-0000-0000C4030000}"/>
    <cellStyle name="40% - Accent6 2 12 2" xfId="1151" xr:uid="{00000000-0005-0000-0000-0000C5030000}"/>
    <cellStyle name="40% - Accent6 2 13" xfId="1152" xr:uid="{00000000-0005-0000-0000-0000C6030000}"/>
    <cellStyle name="40% - Accent6 2 13 2" xfId="1153" xr:uid="{00000000-0005-0000-0000-0000C7030000}"/>
    <cellStyle name="40% - Accent6 2 14" xfId="1154" xr:uid="{00000000-0005-0000-0000-0000C8030000}"/>
    <cellStyle name="40% - Accent6 2 14 2" xfId="1155" xr:uid="{00000000-0005-0000-0000-0000C9030000}"/>
    <cellStyle name="40% - Accent6 2 15" xfId="1156" xr:uid="{00000000-0005-0000-0000-0000CA030000}"/>
    <cellStyle name="40% - Accent6 2 15 2" xfId="1157" xr:uid="{00000000-0005-0000-0000-0000CB030000}"/>
    <cellStyle name="40% - Accent6 2 16" xfId="1158" xr:uid="{00000000-0005-0000-0000-0000CC030000}"/>
    <cellStyle name="40% - Accent6 2 16 2" xfId="1159" xr:uid="{00000000-0005-0000-0000-0000CD030000}"/>
    <cellStyle name="40% - Accent6 2 17" xfId="1160" xr:uid="{00000000-0005-0000-0000-0000CE030000}"/>
    <cellStyle name="40% - Accent6 2 17 2" xfId="1161" xr:uid="{00000000-0005-0000-0000-0000CF030000}"/>
    <cellStyle name="40% - Accent6 2 18" xfId="2522" xr:uid="{00000000-0005-0000-0000-0000D0030000}"/>
    <cellStyle name="40% - Accent6 2 18 2" xfId="2827" xr:uid="{00000000-0005-0000-0000-0000D0030000}"/>
    <cellStyle name="40% - Accent6 2 19" xfId="2752" xr:uid="{00000000-0005-0000-0000-000058000000}"/>
    <cellStyle name="40% - Accent6 2 2" xfId="357" xr:uid="{00000000-0005-0000-0000-0000D1030000}"/>
    <cellStyle name="40% - Accent6 2 2 2" xfId="1163" xr:uid="{00000000-0005-0000-0000-0000D2030000}"/>
    <cellStyle name="40% - Accent6 2 2 3" xfId="1162" xr:uid="{00000000-0005-0000-0000-0000D3030000}"/>
    <cellStyle name="40% - Accent6 2 2 4" xfId="2777" xr:uid="{00000000-0005-0000-0000-000059000000}"/>
    <cellStyle name="40% - Accent6 2 2 5" xfId="3075" xr:uid="{00000000-0005-0000-0000-0000D4040000}"/>
    <cellStyle name="40% - Accent6 2 20" xfId="3076" xr:uid="{00000000-0005-0000-0000-0000D5040000}"/>
    <cellStyle name="40% - Accent6 2 21" xfId="3494" xr:uid="{00000000-0005-0000-0000-0000A10B0000}"/>
    <cellStyle name="40% - Accent6 2 3" xfId="1164" xr:uid="{00000000-0005-0000-0000-0000D4030000}"/>
    <cellStyle name="40% - Accent6 2 3 2" xfId="1165" xr:uid="{00000000-0005-0000-0000-0000D5030000}"/>
    <cellStyle name="40% - Accent6 2 4" xfId="1166" xr:uid="{00000000-0005-0000-0000-0000D6030000}"/>
    <cellStyle name="40% - Accent6 2 4 2" xfId="1167" xr:uid="{00000000-0005-0000-0000-0000D7030000}"/>
    <cellStyle name="40% - Accent6 2 5" xfId="1168" xr:uid="{00000000-0005-0000-0000-0000D8030000}"/>
    <cellStyle name="40% - Accent6 2 5 2" xfId="1169" xr:uid="{00000000-0005-0000-0000-0000D9030000}"/>
    <cellStyle name="40% - Accent6 2 6" xfId="1170" xr:uid="{00000000-0005-0000-0000-0000DA030000}"/>
    <cellStyle name="40% - Accent6 2 6 2" xfId="1171" xr:uid="{00000000-0005-0000-0000-0000DB030000}"/>
    <cellStyle name="40% - Accent6 2 7" xfId="1172" xr:uid="{00000000-0005-0000-0000-0000DC030000}"/>
    <cellStyle name="40% - Accent6 2 7 2" xfId="1173" xr:uid="{00000000-0005-0000-0000-0000DD030000}"/>
    <cellStyle name="40% - Accent6 2 8" xfId="1174" xr:uid="{00000000-0005-0000-0000-0000DE030000}"/>
    <cellStyle name="40% - Accent6 2 8 2" xfId="1175" xr:uid="{00000000-0005-0000-0000-0000DF030000}"/>
    <cellStyle name="40% - Accent6 2 9" xfId="1176" xr:uid="{00000000-0005-0000-0000-0000E0030000}"/>
    <cellStyle name="40% - Accent6 2 9 2" xfId="1177" xr:uid="{00000000-0005-0000-0000-0000E1030000}"/>
    <cellStyle name="40% - Accent6 3 10" xfId="1178" xr:uid="{00000000-0005-0000-0000-0000E2030000}"/>
    <cellStyle name="40% - Accent6 3 10 2" xfId="1179" xr:uid="{00000000-0005-0000-0000-0000E3030000}"/>
    <cellStyle name="40% - Accent6 3 11" xfId="1180" xr:uid="{00000000-0005-0000-0000-0000E4030000}"/>
    <cellStyle name="40% - Accent6 3 11 2" xfId="1181" xr:uid="{00000000-0005-0000-0000-0000E5030000}"/>
    <cellStyle name="40% - Accent6 3 12" xfId="1182" xr:uid="{00000000-0005-0000-0000-0000E6030000}"/>
    <cellStyle name="40% - Accent6 3 12 2" xfId="1183" xr:uid="{00000000-0005-0000-0000-0000E7030000}"/>
    <cellStyle name="40% - Accent6 3 13" xfId="1184" xr:uid="{00000000-0005-0000-0000-0000E8030000}"/>
    <cellStyle name="40% - Accent6 3 13 2" xfId="1185" xr:uid="{00000000-0005-0000-0000-0000E9030000}"/>
    <cellStyle name="40% - Accent6 3 14" xfId="1186" xr:uid="{00000000-0005-0000-0000-0000EA030000}"/>
    <cellStyle name="40% - Accent6 3 14 2" xfId="1187" xr:uid="{00000000-0005-0000-0000-0000EB030000}"/>
    <cellStyle name="40% - Accent6 3 15" xfId="1188" xr:uid="{00000000-0005-0000-0000-0000EC030000}"/>
    <cellStyle name="40% - Accent6 3 15 2" xfId="1189" xr:uid="{00000000-0005-0000-0000-0000ED030000}"/>
    <cellStyle name="40% - Accent6 3 16" xfId="1190" xr:uid="{00000000-0005-0000-0000-0000EE030000}"/>
    <cellStyle name="40% - Accent6 3 16 2" xfId="1191" xr:uid="{00000000-0005-0000-0000-0000EF030000}"/>
    <cellStyle name="40% - Accent6 3 17" xfId="1192" xr:uid="{00000000-0005-0000-0000-0000F0030000}"/>
    <cellStyle name="40% - Accent6 3 17 2" xfId="1193" xr:uid="{00000000-0005-0000-0000-0000F1030000}"/>
    <cellStyle name="40% - Accent6 3 2" xfId="1194" xr:uid="{00000000-0005-0000-0000-0000F2030000}"/>
    <cellStyle name="40% - Accent6 3 2 2" xfId="1195" xr:uid="{00000000-0005-0000-0000-0000F3030000}"/>
    <cellStyle name="40% - Accent6 3 3" xfId="1196" xr:uid="{00000000-0005-0000-0000-0000F4030000}"/>
    <cellStyle name="40% - Accent6 3 3 2" xfId="1197" xr:uid="{00000000-0005-0000-0000-0000F5030000}"/>
    <cellStyle name="40% - Accent6 3 4" xfId="1198" xr:uid="{00000000-0005-0000-0000-0000F6030000}"/>
    <cellStyle name="40% - Accent6 3 4 2" xfId="1199" xr:uid="{00000000-0005-0000-0000-0000F7030000}"/>
    <cellStyle name="40% - Accent6 3 5" xfId="1200" xr:uid="{00000000-0005-0000-0000-0000F8030000}"/>
    <cellStyle name="40% - Accent6 3 5 2" xfId="1201" xr:uid="{00000000-0005-0000-0000-0000F9030000}"/>
    <cellStyle name="40% - Accent6 3 6" xfId="1202" xr:uid="{00000000-0005-0000-0000-0000FA030000}"/>
    <cellStyle name="40% - Accent6 3 6 2" xfId="1203" xr:uid="{00000000-0005-0000-0000-0000FB030000}"/>
    <cellStyle name="40% - Accent6 3 7" xfId="1204" xr:uid="{00000000-0005-0000-0000-0000FC030000}"/>
    <cellStyle name="40% - Accent6 3 7 2" xfId="1205" xr:uid="{00000000-0005-0000-0000-0000FD030000}"/>
    <cellStyle name="40% - Accent6 3 8" xfId="1206" xr:uid="{00000000-0005-0000-0000-0000FE030000}"/>
    <cellStyle name="40% - Accent6 3 8 2" xfId="1207" xr:uid="{00000000-0005-0000-0000-0000FF030000}"/>
    <cellStyle name="40% - Accent6 3 9" xfId="1208" xr:uid="{00000000-0005-0000-0000-000000040000}"/>
    <cellStyle name="40% - Accent6 3 9 2" xfId="1209" xr:uid="{00000000-0005-0000-0000-000001040000}"/>
    <cellStyle name="40% - Colore 1" xfId="105" xr:uid="{00000000-0005-0000-0000-000002040000}"/>
    <cellStyle name="40% - Colore 1 2" xfId="106" xr:uid="{00000000-0005-0000-0000-000003040000}"/>
    <cellStyle name="40% - Colore 1 2 2" xfId="1211" xr:uid="{00000000-0005-0000-0000-000004040000}"/>
    <cellStyle name="40% - Colore 1 2 3" xfId="2523" xr:uid="{00000000-0005-0000-0000-000005040000}"/>
    <cellStyle name="40% - Colore 1 2 4" xfId="3077" xr:uid="{00000000-0005-0000-0000-000008050000}"/>
    <cellStyle name="40% - Colore 1 2 4 2" xfId="3078" xr:uid="{00000000-0005-0000-0000-000009050000}"/>
    <cellStyle name="40% - Colore 1 2 5" xfId="3079" xr:uid="{00000000-0005-0000-0000-00000A050000}"/>
    <cellStyle name="40% - Colore 1 3" xfId="291" xr:uid="{00000000-0005-0000-0000-000006040000}"/>
    <cellStyle name="40% - Colore 1 3 2" xfId="1212" xr:uid="{00000000-0005-0000-0000-000007040000}"/>
    <cellStyle name="40% - Colore 1 3 2 2" xfId="2524" xr:uid="{00000000-0005-0000-0000-000008040000}"/>
    <cellStyle name="40% - Colore 1 3 3" xfId="2525" xr:uid="{00000000-0005-0000-0000-000009040000}"/>
    <cellStyle name="40% - Colore 1 3 4" xfId="3080" xr:uid="{00000000-0005-0000-0000-00000F050000}"/>
    <cellStyle name="40% - Colore 1 3 4 2" xfId="3081" xr:uid="{00000000-0005-0000-0000-000010050000}"/>
    <cellStyle name="40% - Colore 1 3 5" xfId="3082" xr:uid="{00000000-0005-0000-0000-000011050000}"/>
    <cellStyle name="40% - Colore 1 4" xfId="1213" xr:uid="{00000000-0005-0000-0000-00000A040000}"/>
    <cellStyle name="40% - Colore 1 4 2" xfId="2526" xr:uid="{00000000-0005-0000-0000-00000B040000}"/>
    <cellStyle name="40% - Colore 1 5" xfId="1210" xr:uid="{00000000-0005-0000-0000-00000C040000}"/>
    <cellStyle name="40% - Colore 1 6" xfId="2527" xr:uid="{00000000-0005-0000-0000-00000D040000}"/>
    <cellStyle name="40% - Colore 1 7" xfId="2528" xr:uid="{00000000-0005-0000-0000-00000E040000}"/>
    <cellStyle name="40% - Colore 1 8" xfId="3083" xr:uid="{00000000-0005-0000-0000-000017050000}"/>
    <cellStyle name="40% - Colore 1 8 2" xfId="3084" xr:uid="{00000000-0005-0000-0000-000018050000}"/>
    <cellStyle name="40% - Colore 1 9" xfId="3085" xr:uid="{00000000-0005-0000-0000-000019050000}"/>
    <cellStyle name="40% - Colore 2" xfId="107" xr:uid="{00000000-0005-0000-0000-00000F040000}"/>
    <cellStyle name="40% - Colore 2 2" xfId="108" xr:uid="{00000000-0005-0000-0000-000010040000}"/>
    <cellStyle name="40% - Colore 2 2 2" xfId="1215" xr:uid="{00000000-0005-0000-0000-000011040000}"/>
    <cellStyle name="40% - Colore 2 2 3" xfId="2529" xr:uid="{00000000-0005-0000-0000-000012040000}"/>
    <cellStyle name="40% - Colore 2 2 4" xfId="3086" xr:uid="{00000000-0005-0000-0000-00001E050000}"/>
    <cellStyle name="40% - Colore 2 2 4 2" xfId="3087" xr:uid="{00000000-0005-0000-0000-00001F050000}"/>
    <cellStyle name="40% - Colore 2 2 5" xfId="3088" xr:uid="{00000000-0005-0000-0000-000020050000}"/>
    <cellStyle name="40% - Colore 2 3" xfId="292" xr:uid="{00000000-0005-0000-0000-000013040000}"/>
    <cellStyle name="40% - Colore 2 3 2" xfId="1216" xr:uid="{00000000-0005-0000-0000-000014040000}"/>
    <cellStyle name="40% - Colore 2 3 2 2" xfId="2530" xr:uid="{00000000-0005-0000-0000-000015040000}"/>
    <cellStyle name="40% - Colore 2 3 3" xfId="2531" xr:uid="{00000000-0005-0000-0000-000016040000}"/>
    <cellStyle name="40% - Colore 2 3 4" xfId="3089" xr:uid="{00000000-0005-0000-0000-000025050000}"/>
    <cellStyle name="40% - Colore 2 3 4 2" xfId="3090" xr:uid="{00000000-0005-0000-0000-000026050000}"/>
    <cellStyle name="40% - Colore 2 3 5" xfId="3091" xr:uid="{00000000-0005-0000-0000-000027050000}"/>
    <cellStyle name="40% - Colore 2 4" xfId="1217" xr:uid="{00000000-0005-0000-0000-000017040000}"/>
    <cellStyle name="40% - Colore 2 4 2" xfId="2532" xr:uid="{00000000-0005-0000-0000-000018040000}"/>
    <cellStyle name="40% - Colore 2 5" xfId="1214" xr:uid="{00000000-0005-0000-0000-000019040000}"/>
    <cellStyle name="40% - Colore 2 6" xfId="2533" xr:uid="{00000000-0005-0000-0000-00001A040000}"/>
    <cellStyle name="40% - Colore 2 7" xfId="2534" xr:uid="{00000000-0005-0000-0000-00001B040000}"/>
    <cellStyle name="40% - Colore 2 8" xfId="3092" xr:uid="{00000000-0005-0000-0000-00002D050000}"/>
    <cellStyle name="40% - Colore 2 8 2" xfId="3093" xr:uid="{00000000-0005-0000-0000-00002E050000}"/>
    <cellStyle name="40% - Colore 2 9" xfId="3094" xr:uid="{00000000-0005-0000-0000-00002F050000}"/>
    <cellStyle name="40% - Colore 3" xfId="109" xr:uid="{00000000-0005-0000-0000-00001C040000}"/>
    <cellStyle name="40% - Colore 3 10" xfId="110" xr:uid="{00000000-0005-0000-0000-00001D040000}"/>
    <cellStyle name="40% - Colore 3 10 2" xfId="1219" xr:uid="{00000000-0005-0000-0000-00001E040000}"/>
    <cellStyle name="40% - Colore 3 10 3" xfId="2535" xr:uid="{00000000-0005-0000-0000-00001F040000}"/>
    <cellStyle name="40% - Colore 3 10 4" xfId="3095" xr:uid="{00000000-0005-0000-0000-000034050000}"/>
    <cellStyle name="40% - Colore 3 10 4 2" xfId="3096" xr:uid="{00000000-0005-0000-0000-000035050000}"/>
    <cellStyle name="40% - Colore 3 10 5" xfId="3097" xr:uid="{00000000-0005-0000-0000-000036050000}"/>
    <cellStyle name="40% - Colore 3 11" xfId="111" xr:uid="{00000000-0005-0000-0000-000020040000}"/>
    <cellStyle name="40% - Colore 3 11 2" xfId="1220" xr:uid="{00000000-0005-0000-0000-000021040000}"/>
    <cellStyle name="40% - Colore 3 11 3" xfId="2536" xr:uid="{00000000-0005-0000-0000-000022040000}"/>
    <cellStyle name="40% - Colore 3 11 4" xfId="3098" xr:uid="{00000000-0005-0000-0000-00003A050000}"/>
    <cellStyle name="40% - Colore 3 11 4 2" xfId="3099" xr:uid="{00000000-0005-0000-0000-00003B050000}"/>
    <cellStyle name="40% - Colore 3 11 5" xfId="3100" xr:uid="{00000000-0005-0000-0000-00003C050000}"/>
    <cellStyle name="40% - Colore 3 12" xfId="112" xr:uid="{00000000-0005-0000-0000-000023040000}"/>
    <cellStyle name="40% - Colore 3 12 2" xfId="1221" xr:uid="{00000000-0005-0000-0000-000024040000}"/>
    <cellStyle name="40% - Colore 3 12 3" xfId="2537" xr:uid="{00000000-0005-0000-0000-000025040000}"/>
    <cellStyle name="40% - Colore 3 12 4" xfId="3101" xr:uid="{00000000-0005-0000-0000-000040050000}"/>
    <cellStyle name="40% - Colore 3 12 4 2" xfId="3102" xr:uid="{00000000-0005-0000-0000-000041050000}"/>
    <cellStyle name="40% - Colore 3 12 5" xfId="3103" xr:uid="{00000000-0005-0000-0000-000042050000}"/>
    <cellStyle name="40% - Colore 3 13" xfId="113" xr:uid="{00000000-0005-0000-0000-000026040000}"/>
    <cellStyle name="40% - Colore 3 13 2" xfId="1222" xr:uid="{00000000-0005-0000-0000-000027040000}"/>
    <cellStyle name="40% - Colore 3 13 3" xfId="2538" xr:uid="{00000000-0005-0000-0000-000028040000}"/>
    <cellStyle name="40% - Colore 3 13 4" xfId="3104" xr:uid="{00000000-0005-0000-0000-000046050000}"/>
    <cellStyle name="40% - Colore 3 13 4 2" xfId="3105" xr:uid="{00000000-0005-0000-0000-000047050000}"/>
    <cellStyle name="40% - Colore 3 13 5" xfId="3106" xr:uid="{00000000-0005-0000-0000-000048050000}"/>
    <cellStyle name="40% - Colore 3 14" xfId="114" xr:uid="{00000000-0005-0000-0000-000029040000}"/>
    <cellStyle name="40% - Colore 3 14 2" xfId="1223" xr:uid="{00000000-0005-0000-0000-00002A040000}"/>
    <cellStyle name="40% - Colore 3 14 3" xfId="2539" xr:uid="{00000000-0005-0000-0000-00002B040000}"/>
    <cellStyle name="40% - Colore 3 14 4" xfId="3107" xr:uid="{00000000-0005-0000-0000-00004C050000}"/>
    <cellStyle name="40% - Colore 3 14 4 2" xfId="3108" xr:uid="{00000000-0005-0000-0000-00004D050000}"/>
    <cellStyle name="40% - Colore 3 14 5" xfId="3109" xr:uid="{00000000-0005-0000-0000-00004E050000}"/>
    <cellStyle name="40% - Colore 3 15" xfId="293" xr:uid="{00000000-0005-0000-0000-00002C040000}"/>
    <cellStyle name="40% - Colore 3 15 2" xfId="1224" xr:uid="{00000000-0005-0000-0000-00002D040000}"/>
    <cellStyle name="40% - Colore 3 15 2 2" xfId="2540" xr:uid="{00000000-0005-0000-0000-00002E040000}"/>
    <cellStyle name="40% - Colore 3 15 3" xfId="2541" xr:uid="{00000000-0005-0000-0000-00002F040000}"/>
    <cellStyle name="40% - Colore 3 15 4" xfId="3110" xr:uid="{00000000-0005-0000-0000-000053050000}"/>
    <cellStyle name="40% - Colore 3 15 4 2" xfId="3111" xr:uid="{00000000-0005-0000-0000-000054050000}"/>
    <cellStyle name="40% - Colore 3 15 5" xfId="3112" xr:uid="{00000000-0005-0000-0000-000055050000}"/>
    <cellStyle name="40% - Colore 3 16" xfId="1225" xr:uid="{00000000-0005-0000-0000-000030040000}"/>
    <cellStyle name="40% - Colore 3 16 2" xfId="2542" xr:uid="{00000000-0005-0000-0000-000031040000}"/>
    <cellStyle name="40% - Colore 3 17" xfId="1218" xr:uid="{00000000-0005-0000-0000-000032040000}"/>
    <cellStyle name="40% - Colore 3 18" xfId="2543" xr:uid="{00000000-0005-0000-0000-000033040000}"/>
    <cellStyle name="40% - Colore 3 19" xfId="2544" xr:uid="{00000000-0005-0000-0000-000034040000}"/>
    <cellStyle name="40% - Colore 3 2" xfId="115" xr:uid="{00000000-0005-0000-0000-000035040000}"/>
    <cellStyle name="40% - Colore 3 2 2" xfId="1226" xr:uid="{00000000-0005-0000-0000-000036040000}"/>
    <cellStyle name="40% - Colore 3 2 3" xfId="2545" xr:uid="{00000000-0005-0000-0000-000037040000}"/>
    <cellStyle name="40% - Colore 3 2 4" xfId="3113" xr:uid="{00000000-0005-0000-0000-00005E050000}"/>
    <cellStyle name="40% - Colore 3 2 4 2" xfId="3114" xr:uid="{00000000-0005-0000-0000-00005F050000}"/>
    <cellStyle name="40% - Colore 3 2 5" xfId="3115" xr:uid="{00000000-0005-0000-0000-000060050000}"/>
    <cellStyle name="40% - Colore 3 20" xfId="3116" xr:uid="{00000000-0005-0000-0000-000061050000}"/>
    <cellStyle name="40% - Colore 3 20 2" xfId="3117" xr:uid="{00000000-0005-0000-0000-000062050000}"/>
    <cellStyle name="40% - Colore 3 21" xfId="3118" xr:uid="{00000000-0005-0000-0000-000063050000}"/>
    <cellStyle name="40% - Colore 3 3" xfId="116" xr:uid="{00000000-0005-0000-0000-000038040000}"/>
    <cellStyle name="40% - Colore 3 3 2" xfId="1227" xr:uid="{00000000-0005-0000-0000-000039040000}"/>
    <cellStyle name="40% - Colore 3 3 3" xfId="2546" xr:uid="{00000000-0005-0000-0000-00003A040000}"/>
    <cellStyle name="40% - Colore 3 3 4" xfId="3119" xr:uid="{00000000-0005-0000-0000-000067050000}"/>
    <cellStyle name="40% - Colore 3 3 4 2" xfId="3120" xr:uid="{00000000-0005-0000-0000-000068050000}"/>
    <cellStyle name="40% - Colore 3 3 5" xfId="3121" xr:uid="{00000000-0005-0000-0000-000069050000}"/>
    <cellStyle name="40% - Colore 3 4" xfId="117" xr:uid="{00000000-0005-0000-0000-00003B040000}"/>
    <cellStyle name="40% - Colore 3 4 2" xfId="1228" xr:uid="{00000000-0005-0000-0000-00003C040000}"/>
    <cellStyle name="40% - Colore 3 4 3" xfId="2547" xr:uid="{00000000-0005-0000-0000-00003D040000}"/>
    <cellStyle name="40% - Colore 3 4 4" xfId="3122" xr:uid="{00000000-0005-0000-0000-00006D050000}"/>
    <cellStyle name="40% - Colore 3 4 4 2" xfId="3123" xr:uid="{00000000-0005-0000-0000-00006E050000}"/>
    <cellStyle name="40% - Colore 3 4 5" xfId="3124" xr:uid="{00000000-0005-0000-0000-00006F050000}"/>
    <cellStyle name="40% - Colore 3 5" xfId="118" xr:uid="{00000000-0005-0000-0000-00003E040000}"/>
    <cellStyle name="40% - Colore 3 5 2" xfId="1229" xr:uid="{00000000-0005-0000-0000-00003F040000}"/>
    <cellStyle name="40% - Colore 3 5 3" xfId="2548" xr:uid="{00000000-0005-0000-0000-000040040000}"/>
    <cellStyle name="40% - Colore 3 5 4" xfId="3125" xr:uid="{00000000-0005-0000-0000-000073050000}"/>
    <cellStyle name="40% - Colore 3 5 4 2" xfId="3126" xr:uid="{00000000-0005-0000-0000-000074050000}"/>
    <cellStyle name="40% - Colore 3 5 5" xfId="3127" xr:uid="{00000000-0005-0000-0000-000075050000}"/>
    <cellStyle name="40% - Colore 3 6" xfId="119" xr:uid="{00000000-0005-0000-0000-000041040000}"/>
    <cellStyle name="40% - Colore 3 6 2" xfId="1230" xr:uid="{00000000-0005-0000-0000-000042040000}"/>
    <cellStyle name="40% - Colore 3 6 3" xfId="2549" xr:uid="{00000000-0005-0000-0000-000043040000}"/>
    <cellStyle name="40% - Colore 3 6 4" xfId="3128" xr:uid="{00000000-0005-0000-0000-000079050000}"/>
    <cellStyle name="40% - Colore 3 6 4 2" xfId="3129" xr:uid="{00000000-0005-0000-0000-00007A050000}"/>
    <cellStyle name="40% - Colore 3 6 5" xfId="3130" xr:uid="{00000000-0005-0000-0000-00007B050000}"/>
    <cellStyle name="40% - Colore 3 7" xfId="120" xr:uid="{00000000-0005-0000-0000-000044040000}"/>
    <cellStyle name="40% - Colore 3 7 2" xfId="1231" xr:uid="{00000000-0005-0000-0000-000045040000}"/>
    <cellStyle name="40% - Colore 3 7 3" xfId="2550" xr:uid="{00000000-0005-0000-0000-000046040000}"/>
    <cellStyle name="40% - Colore 3 7 4" xfId="3131" xr:uid="{00000000-0005-0000-0000-00007F050000}"/>
    <cellStyle name="40% - Colore 3 7 4 2" xfId="3132" xr:uid="{00000000-0005-0000-0000-000080050000}"/>
    <cellStyle name="40% - Colore 3 7 5" xfId="3133" xr:uid="{00000000-0005-0000-0000-000081050000}"/>
    <cellStyle name="40% - Colore 3 8" xfId="121" xr:uid="{00000000-0005-0000-0000-000047040000}"/>
    <cellStyle name="40% - Colore 3 8 2" xfId="1232" xr:uid="{00000000-0005-0000-0000-000048040000}"/>
    <cellStyle name="40% - Colore 3 8 3" xfId="2551" xr:uid="{00000000-0005-0000-0000-000049040000}"/>
    <cellStyle name="40% - Colore 3 8 4" xfId="3134" xr:uid="{00000000-0005-0000-0000-000085050000}"/>
    <cellStyle name="40% - Colore 3 8 4 2" xfId="3135" xr:uid="{00000000-0005-0000-0000-000086050000}"/>
    <cellStyle name="40% - Colore 3 8 5" xfId="3136" xr:uid="{00000000-0005-0000-0000-000087050000}"/>
    <cellStyle name="40% - Colore 3 9" xfId="122" xr:uid="{00000000-0005-0000-0000-00004A040000}"/>
    <cellStyle name="40% - Colore 3 9 2" xfId="1233" xr:uid="{00000000-0005-0000-0000-00004B040000}"/>
    <cellStyle name="40% - Colore 3 9 3" xfId="2552" xr:uid="{00000000-0005-0000-0000-00004C040000}"/>
    <cellStyle name="40% - Colore 3 9 4" xfId="3137" xr:uid="{00000000-0005-0000-0000-00008B050000}"/>
    <cellStyle name="40% - Colore 3 9 4 2" xfId="3138" xr:uid="{00000000-0005-0000-0000-00008C050000}"/>
    <cellStyle name="40% - Colore 3 9 5" xfId="3139" xr:uid="{00000000-0005-0000-0000-00008D050000}"/>
    <cellStyle name="40% - Colore 4" xfId="123" xr:uid="{00000000-0005-0000-0000-00004D040000}"/>
    <cellStyle name="40% - Colore 4 2" xfId="124" xr:uid="{00000000-0005-0000-0000-00004E040000}"/>
    <cellStyle name="40% - Colore 4 2 2" xfId="1235" xr:uid="{00000000-0005-0000-0000-00004F040000}"/>
    <cellStyle name="40% - Colore 4 2 3" xfId="2553" xr:uid="{00000000-0005-0000-0000-000050040000}"/>
    <cellStyle name="40% - Colore 4 2 4" xfId="3140" xr:uid="{00000000-0005-0000-0000-000092050000}"/>
    <cellStyle name="40% - Colore 4 2 4 2" xfId="3141" xr:uid="{00000000-0005-0000-0000-000093050000}"/>
    <cellStyle name="40% - Colore 4 2 5" xfId="3142" xr:uid="{00000000-0005-0000-0000-000094050000}"/>
    <cellStyle name="40% - Colore 4 3" xfId="294" xr:uid="{00000000-0005-0000-0000-000051040000}"/>
    <cellStyle name="40% - Colore 4 3 2" xfId="1236" xr:uid="{00000000-0005-0000-0000-000052040000}"/>
    <cellStyle name="40% - Colore 4 3 2 2" xfId="2554" xr:uid="{00000000-0005-0000-0000-000053040000}"/>
    <cellStyle name="40% - Colore 4 3 3" xfId="2555" xr:uid="{00000000-0005-0000-0000-000054040000}"/>
    <cellStyle name="40% - Colore 4 3 4" xfId="3143" xr:uid="{00000000-0005-0000-0000-000099050000}"/>
    <cellStyle name="40% - Colore 4 3 4 2" xfId="3144" xr:uid="{00000000-0005-0000-0000-00009A050000}"/>
    <cellStyle name="40% - Colore 4 3 5" xfId="3145" xr:uid="{00000000-0005-0000-0000-00009B050000}"/>
    <cellStyle name="40% - Colore 4 4" xfId="1237" xr:uid="{00000000-0005-0000-0000-000055040000}"/>
    <cellStyle name="40% - Colore 4 4 2" xfId="2556" xr:uid="{00000000-0005-0000-0000-000056040000}"/>
    <cellStyle name="40% - Colore 4 5" xfId="1234" xr:uid="{00000000-0005-0000-0000-000057040000}"/>
    <cellStyle name="40% - Colore 4 6" xfId="2557" xr:uid="{00000000-0005-0000-0000-000058040000}"/>
    <cellStyle name="40% - Colore 4 7" xfId="2558" xr:uid="{00000000-0005-0000-0000-000059040000}"/>
    <cellStyle name="40% - Colore 4 8" xfId="3146" xr:uid="{00000000-0005-0000-0000-0000A1050000}"/>
    <cellStyle name="40% - Colore 4 8 2" xfId="3147" xr:uid="{00000000-0005-0000-0000-0000A2050000}"/>
    <cellStyle name="40% - Colore 4 9" xfId="3148" xr:uid="{00000000-0005-0000-0000-0000A3050000}"/>
    <cellStyle name="40% - Colore 5" xfId="125" xr:uid="{00000000-0005-0000-0000-00005A040000}"/>
    <cellStyle name="40% - Colore 5 2" xfId="126" xr:uid="{00000000-0005-0000-0000-00005B040000}"/>
    <cellStyle name="40% - Colore 5 2 2" xfId="1239" xr:uid="{00000000-0005-0000-0000-00005C040000}"/>
    <cellStyle name="40% - Colore 5 2 3" xfId="2559" xr:uid="{00000000-0005-0000-0000-00005D040000}"/>
    <cellStyle name="40% - Colore 5 2 4" xfId="3149" xr:uid="{00000000-0005-0000-0000-0000A8050000}"/>
    <cellStyle name="40% - Colore 5 2 4 2" xfId="3150" xr:uid="{00000000-0005-0000-0000-0000A9050000}"/>
    <cellStyle name="40% - Colore 5 2 5" xfId="3151" xr:uid="{00000000-0005-0000-0000-0000AA050000}"/>
    <cellStyle name="40% - Colore 5 3" xfId="295" xr:uid="{00000000-0005-0000-0000-00005E040000}"/>
    <cellStyle name="40% - Colore 5 3 2" xfId="1240" xr:uid="{00000000-0005-0000-0000-00005F040000}"/>
    <cellStyle name="40% - Colore 5 3 2 2" xfId="2560" xr:uid="{00000000-0005-0000-0000-000060040000}"/>
    <cellStyle name="40% - Colore 5 3 3" xfId="2561" xr:uid="{00000000-0005-0000-0000-000061040000}"/>
    <cellStyle name="40% - Colore 5 3 4" xfId="3152" xr:uid="{00000000-0005-0000-0000-0000AF050000}"/>
    <cellStyle name="40% - Colore 5 3 4 2" xfId="3153" xr:uid="{00000000-0005-0000-0000-0000B0050000}"/>
    <cellStyle name="40% - Colore 5 3 5" xfId="3154" xr:uid="{00000000-0005-0000-0000-0000B1050000}"/>
    <cellStyle name="40% - Colore 5 4" xfId="1241" xr:uid="{00000000-0005-0000-0000-000062040000}"/>
    <cellStyle name="40% - Colore 5 4 2" xfId="2562" xr:uid="{00000000-0005-0000-0000-000063040000}"/>
    <cellStyle name="40% - Colore 5 5" xfId="1238" xr:uid="{00000000-0005-0000-0000-000064040000}"/>
    <cellStyle name="40% - Colore 5 6" xfId="2563" xr:uid="{00000000-0005-0000-0000-000065040000}"/>
    <cellStyle name="40% - Colore 5 7" xfId="2564" xr:uid="{00000000-0005-0000-0000-000066040000}"/>
    <cellStyle name="40% - Colore 5 8" xfId="3155" xr:uid="{00000000-0005-0000-0000-0000B7050000}"/>
    <cellStyle name="40% - Colore 5 8 2" xfId="3156" xr:uid="{00000000-0005-0000-0000-0000B8050000}"/>
    <cellStyle name="40% - Colore 5 9" xfId="3157" xr:uid="{00000000-0005-0000-0000-0000B9050000}"/>
    <cellStyle name="40% - Colore 6" xfId="127" xr:uid="{00000000-0005-0000-0000-000067040000}"/>
    <cellStyle name="40% - Colore 6 2" xfId="128" xr:uid="{00000000-0005-0000-0000-000068040000}"/>
    <cellStyle name="40% - Colore 6 2 2" xfId="1243" xr:uid="{00000000-0005-0000-0000-000069040000}"/>
    <cellStyle name="40% - Colore 6 2 3" xfId="2565" xr:uid="{00000000-0005-0000-0000-00006A040000}"/>
    <cellStyle name="40% - Colore 6 2 4" xfId="3158" xr:uid="{00000000-0005-0000-0000-0000BE050000}"/>
    <cellStyle name="40% - Colore 6 2 4 2" xfId="3159" xr:uid="{00000000-0005-0000-0000-0000BF050000}"/>
    <cellStyle name="40% - Colore 6 2 5" xfId="3160" xr:uid="{00000000-0005-0000-0000-0000C0050000}"/>
    <cellStyle name="40% - Colore 6 3" xfId="296" xr:uid="{00000000-0005-0000-0000-00006B040000}"/>
    <cellStyle name="40% - Colore 6 3 2" xfId="1244" xr:uid="{00000000-0005-0000-0000-00006C040000}"/>
    <cellStyle name="40% - Colore 6 3 2 2" xfId="2566" xr:uid="{00000000-0005-0000-0000-00006D040000}"/>
    <cellStyle name="40% - Colore 6 3 3" xfId="2567" xr:uid="{00000000-0005-0000-0000-00006E040000}"/>
    <cellStyle name="40% - Colore 6 3 4" xfId="3161" xr:uid="{00000000-0005-0000-0000-0000C5050000}"/>
    <cellStyle name="40% - Colore 6 3 4 2" xfId="3162" xr:uid="{00000000-0005-0000-0000-0000C6050000}"/>
    <cellStyle name="40% - Colore 6 3 5" xfId="3163" xr:uid="{00000000-0005-0000-0000-0000C7050000}"/>
    <cellStyle name="40% - Colore 6 4" xfId="1245" xr:uid="{00000000-0005-0000-0000-00006F040000}"/>
    <cellStyle name="40% - Colore 6 4 2" xfId="2568" xr:uid="{00000000-0005-0000-0000-000070040000}"/>
    <cellStyle name="40% - Colore 6 5" xfId="1242" xr:uid="{00000000-0005-0000-0000-000071040000}"/>
    <cellStyle name="40% - Colore 6 6" xfId="2569" xr:uid="{00000000-0005-0000-0000-000072040000}"/>
    <cellStyle name="40% - Colore 6 7" xfId="2570" xr:uid="{00000000-0005-0000-0000-000073040000}"/>
    <cellStyle name="40% - Colore 6 8" xfId="3164" xr:uid="{00000000-0005-0000-0000-0000CD050000}"/>
    <cellStyle name="40% - Colore 6 8 2" xfId="3165" xr:uid="{00000000-0005-0000-0000-0000CE050000}"/>
    <cellStyle name="40% - Colore 6 9" xfId="3166" xr:uid="{00000000-0005-0000-0000-0000CF050000}"/>
    <cellStyle name="60% - Accent1 2" xfId="227" xr:uid="{00000000-0005-0000-0000-000074040000}"/>
    <cellStyle name="60% - Accent1 2 10" xfId="1246" xr:uid="{00000000-0005-0000-0000-000075040000}"/>
    <cellStyle name="60% - Accent1 2 11" xfId="1247" xr:uid="{00000000-0005-0000-0000-000076040000}"/>
    <cellStyle name="60% - Accent1 2 12" xfId="1248" xr:uid="{00000000-0005-0000-0000-000077040000}"/>
    <cellStyle name="60% - Accent1 2 13" xfId="1249" xr:uid="{00000000-0005-0000-0000-000078040000}"/>
    <cellStyle name="60% - Accent1 2 14" xfId="1250" xr:uid="{00000000-0005-0000-0000-000079040000}"/>
    <cellStyle name="60% - Accent1 2 15" xfId="1251" xr:uid="{00000000-0005-0000-0000-00007A040000}"/>
    <cellStyle name="60% - Accent1 2 16" xfId="1252" xr:uid="{00000000-0005-0000-0000-00007B040000}"/>
    <cellStyle name="60% - Accent1 2 17" xfId="1253" xr:uid="{00000000-0005-0000-0000-00007C040000}"/>
    <cellStyle name="60% - Accent1 2 2" xfId="1254" xr:uid="{00000000-0005-0000-0000-00007D040000}"/>
    <cellStyle name="60% - Accent1 2 3" xfId="1255" xr:uid="{00000000-0005-0000-0000-00007E040000}"/>
    <cellStyle name="60% - Accent1 2 4" xfId="1256" xr:uid="{00000000-0005-0000-0000-00007F040000}"/>
    <cellStyle name="60% - Accent1 2 5" xfId="1257" xr:uid="{00000000-0005-0000-0000-000080040000}"/>
    <cellStyle name="60% - Accent1 2 6" xfId="1258" xr:uid="{00000000-0005-0000-0000-000081040000}"/>
    <cellStyle name="60% - Accent1 2 7" xfId="1259" xr:uid="{00000000-0005-0000-0000-000082040000}"/>
    <cellStyle name="60% - Accent1 2 8" xfId="1260" xr:uid="{00000000-0005-0000-0000-000083040000}"/>
    <cellStyle name="60% - Accent1 2 9" xfId="1261" xr:uid="{00000000-0005-0000-0000-000084040000}"/>
    <cellStyle name="60% - Accent1 3 10" xfId="1262" xr:uid="{00000000-0005-0000-0000-000085040000}"/>
    <cellStyle name="60% - Accent1 3 11" xfId="1263" xr:uid="{00000000-0005-0000-0000-000086040000}"/>
    <cellStyle name="60% - Accent1 3 12" xfId="1264" xr:uid="{00000000-0005-0000-0000-000087040000}"/>
    <cellStyle name="60% - Accent1 3 13" xfId="1265" xr:uid="{00000000-0005-0000-0000-000088040000}"/>
    <cellStyle name="60% - Accent1 3 14" xfId="1266" xr:uid="{00000000-0005-0000-0000-000089040000}"/>
    <cellStyle name="60% - Accent1 3 15" xfId="1267" xr:uid="{00000000-0005-0000-0000-00008A040000}"/>
    <cellStyle name="60% - Accent1 3 16" xfId="1268" xr:uid="{00000000-0005-0000-0000-00008B040000}"/>
    <cellStyle name="60% - Accent1 3 17" xfId="1269" xr:uid="{00000000-0005-0000-0000-00008C040000}"/>
    <cellStyle name="60% - Accent1 3 2" xfId="1270" xr:uid="{00000000-0005-0000-0000-00008D040000}"/>
    <cellStyle name="60% - Accent1 3 3" xfId="1271" xr:uid="{00000000-0005-0000-0000-00008E040000}"/>
    <cellStyle name="60% - Accent1 3 4" xfId="1272" xr:uid="{00000000-0005-0000-0000-00008F040000}"/>
    <cellStyle name="60% - Accent1 3 5" xfId="1273" xr:uid="{00000000-0005-0000-0000-000090040000}"/>
    <cellStyle name="60% - Accent1 3 6" xfId="1274" xr:uid="{00000000-0005-0000-0000-000091040000}"/>
    <cellStyle name="60% - Accent1 3 7" xfId="1275" xr:uid="{00000000-0005-0000-0000-000092040000}"/>
    <cellStyle name="60% - Accent1 3 8" xfId="1276" xr:uid="{00000000-0005-0000-0000-000093040000}"/>
    <cellStyle name="60% - Accent1 3 9" xfId="1277" xr:uid="{00000000-0005-0000-0000-000094040000}"/>
    <cellStyle name="60% - Accent2 2" xfId="228" xr:uid="{00000000-0005-0000-0000-000095040000}"/>
    <cellStyle name="60% - Accent2 2 10" xfId="1278" xr:uid="{00000000-0005-0000-0000-000096040000}"/>
    <cellStyle name="60% - Accent2 2 11" xfId="1279" xr:uid="{00000000-0005-0000-0000-000097040000}"/>
    <cellStyle name="60% - Accent2 2 12" xfId="1280" xr:uid="{00000000-0005-0000-0000-000098040000}"/>
    <cellStyle name="60% - Accent2 2 13" xfId="1281" xr:uid="{00000000-0005-0000-0000-000099040000}"/>
    <cellStyle name="60% - Accent2 2 14" xfId="1282" xr:uid="{00000000-0005-0000-0000-00009A040000}"/>
    <cellStyle name="60% - Accent2 2 15" xfId="1283" xr:uid="{00000000-0005-0000-0000-00009B040000}"/>
    <cellStyle name="60% - Accent2 2 16" xfId="1284" xr:uid="{00000000-0005-0000-0000-00009C040000}"/>
    <cellStyle name="60% - Accent2 2 17" xfId="1285" xr:uid="{00000000-0005-0000-0000-00009D040000}"/>
    <cellStyle name="60% - Accent2 2 2" xfId="1286" xr:uid="{00000000-0005-0000-0000-00009E040000}"/>
    <cellStyle name="60% - Accent2 2 3" xfId="1287" xr:uid="{00000000-0005-0000-0000-00009F040000}"/>
    <cellStyle name="60% - Accent2 2 4" xfId="1288" xr:uid="{00000000-0005-0000-0000-0000A0040000}"/>
    <cellStyle name="60% - Accent2 2 5" xfId="1289" xr:uid="{00000000-0005-0000-0000-0000A1040000}"/>
    <cellStyle name="60% - Accent2 2 6" xfId="1290" xr:uid="{00000000-0005-0000-0000-0000A2040000}"/>
    <cellStyle name="60% - Accent2 2 7" xfId="1291" xr:uid="{00000000-0005-0000-0000-0000A3040000}"/>
    <cellStyle name="60% - Accent2 2 8" xfId="1292" xr:uid="{00000000-0005-0000-0000-0000A4040000}"/>
    <cellStyle name="60% - Accent2 2 9" xfId="1293" xr:uid="{00000000-0005-0000-0000-0000A5040000}"/>
    <cellStyle name="60% - Accent2 3 10" xfId="1294" xr:uid="{00000000-0005-0000-0000-0000A6040000}"/>
    <cellStyle name="60% - Accent2 3 11" xfId="1295" xr:uid="{00000000-0005-0000-0000-0000A7040000}"/>
    <cellStyle name="60% - Accent2 3 12" xfId="1296" xr:uid="{00000000-0005-0000-0000-0000A8040000}"/>
    <cellStyle name="60% - Accent2 3 13" xfId="1297" xr:uid="{00000000-0005-0000-0000-0000A9040000}"/>
    <cellStyle name="60% - Accent2 3 14" xfId="1298" xr:uid="{00000000-0005-0000-0000-0000AA040000}"/>
    <cellStyle name="60% - Accent2 3 15" xfId="1299" xr:uid="{00000000-0005-0000-0000-0000AB040000}"/>
    <cellStyle name="60% - Accent2 3 16" xfId="1300" xr:uid="{00000000-0005-0000-0000-0000AC040000}"/>
    <cellStyle name="60% - Accent2 3 17" xfId="1301" xr:uid="{00000000-0005-0000-0000-0000AD040000}"/>
    <cellStyle name="60% - Accent2 3 2" xfId="1302" xr:uid="{00000000-0005-0000-0000-0000AE040000}"/>
    <cellStyle name="60% - Accent2 3 3" xfId="1303" xr:uid="{00000000-0005-0000-0000-0000AF040000}"/>
    <cellStyle name="60% - Accent2 3 4" xfId="1304" xr:uid="{00000000-0005-0000-0000-0000B0040000}"/>
    <cellStyle name="60% - Accent2 3 5" xfId="1305" xr:uid="{00000000-0005-0000-0000-0000B1040000}"/>
    <cellStyle name="60% - Accent2 3 6" xfId="1306" xr:uid="{00000000-0005-0000-0000-0000B2040000}"/>
    <cellStyle name="60% - Accent2 3 7" xfId="1307" xr:uid="{00000000-0005-0000-0000-0000B3040000}"/>
    <cellStyle name="60% - Accent2 3 8" xfId="1308" xr:uid="{00000000-0005-0000-0000-0000B4040000}"/>
    <cellStyle name="60% - Accent2 3 9" xfId="1309" xr:uid="{00000000-0005-0000-0000-0000B5040000}"/>
    <cellStyle name="60% - Accent3 2" xfId="229" xr:uid="{00000000-0005-0000-0000-0000B6040000}"/>
    <cellStyle name="60% - Accent3 2 10" xfId="1310" xr:uid="{00000000-0005-0000-0000-0000B7040000}"/>
    <cellStyle name="60% - Accent3 2 11" xfId="1311" xr:uid="{00000000-0005-0000-0000-0000B8040000}"/>
    <cellStyle name="60% - Accent3 2 12" xfId="1312" xr:uid="{00000000-0005-0000-0000-0000B9040000}"/>
    <cellStyle name="60% - Accent3 2 13" xfId="1313" xr:uid="{00000000-0005-0000-0000-0000BA040000}"/>
    <cellStyle name="60% - Accent3 2 14" xfId="1314" xr:uid="{00000000-0005-0000-0000-0000BB040000}"/>
    <cellStyle name="60% - Accent3 2 15" xfId="1315" xr:uid="{00000000-0005-0000-0000-0000BC040000}"/>
    <cellStyle name="60% - Accent3 2 16" xfId="1316" xr:uid="{00000000-0005-0000-0000-0000BD040000}"/>
    <cellStyle name="60% - Accent3 2 17" xfId="1317" xr:uid="{00000000-0005-0000-0000-0000BE040000}"/>
    <cellStyle name="60% - Accent3 2 2" xfId="1318" xr:uid="{00000000-0005-0000-0000-0000BF040000}"/>
    <cellStyle name="60% - Accent3 2 3" xfId="1319" xr:uid="{00000000-0005-0000-0000-0000C0040000}"/>
    <cellStyle name="60% - Accent3 2 4" xfId="1320" xr:uid="{00000000-0005-0000-0000-0000C1040000}"/>
    <cellStyle name="60% - Accent3 2 5" xfId="1321" xr:uid="{00000000-0005-0000-0000-0000C2040000}"/>
    <cellStyle name="60% - Accent3 2 6" xfId="1322" xr:uid="{00000000-0005-0000-0000-0000C3040000}"/>
    <cellStyle name="60% - Accent3 2 7" xfId="1323" xr:uid="{00000000-0005-0000-0000-0000C4040000}"/>
    <cellStyle name="60% - Accent3 2 8" xfId="1324" xr:uid="{00000000-0005-0000-0000-0000C5040000}"/>
    <cellStyle name="60% - Accent3 2 9" xfId="1325" xr:uid="{00000000-0005-0000-0000-0000C6040000}"/>
    <cellStyle name="60% - Accent3 3 10" xfId="1326" xr:uid="{00000000-0005-0000-0000-0000C7040000}"/>
    <cellStyle name="60% - Accent3 3 11" xfId="1327" xr:uid="{00000000-0005-0000-0000-0000C8040000}"/>
    <cellStyle name="60% - Accent3 3 12" xfId="1328" xr:uid="{00000000-0005-0000-0000-0000C9040000}"/>
    <cellStyle name="60% - Accent3 3 13" xfId="1329" xr:uid="{00000000-0005-0000-0000-0000CA040000}"/>
    <cellStyle name="60% - Accent3 3 14" xfId="1330" xr:uid="{00000000-0005-0000-0000-0000CB040000}"/>
    <cellStyle name="60% - Accent3 3 15" xfId="1331" xr:uid="{00000000-0005-0000-0000-0000CC040000}"/>
    <cellStyle name="60% - Accent3 3 16" xfId="1332" xr:uid="{00000000-0005-0000-0000-0000CD040000}"/>
    <cellStyle name="60% - Accent3 3 17" xfId="1333" xr:uid="{00000000-0005-0000-0000-0000CE040000}"/>
    <cellStyle name="60% - Accent3 3 2" xfId="1334" xr:uid="{00000000-0005-0000-0000-0000CF040000}"/>
    <cellStyle name="60% - Accent3 3 3" xfId="1335" xr:uid="{00000000-0005-0000-0000-0000D0040000}"/>
    <cellStyle name="60% - Accent3 3 4" xfId="1336" xr:uid="{00000000-0005-0000-0000-0000D1040000}"/>
    <cellStyle name="60% - Accent3 3 5" xfId="1337" xr:uid="{00000000-0005-0000-0000-0000D2040000}"/>
    <cellStyle name="60% - Accent3 3 6" xfId="1338" xr:uid="{00000000-0005-0000-0000-0000D3040000}"/>
    <cellStyle name="60% - Accent3 3 7" xfId="1339" xr:uid="{00000000-0005-0000-0000-0000D4040000}"/>
    <cellStyle name="60% - Accent3 3 8" xfId="1340" xr:uid="{00000000-0005-0000-0000-0000D5040000}"/>
    <cellStyle name="60% - Accent3 3 9" xfId="1341" xr:uid="{00000000-0005-0000-0000-0000D6040000}"/>
    <cellStyle name="60% - Accent4 2" xfId="230" xr:uid="{00000000-0005-0000-0000-0000D7040000}"/>
    <cellStyle name="60% - Accent4 2 10" xfId="1342" xr:uid="{00000000-0005-0000-0000-0000D8040000}"/>
    <cellStyle name="60% - Accent4 2 11" xfId="1343" xr:uid="{00000000-0005-0000-0000-0000D9040000}"/>
    <cellStyle name="60% - Accent4 2 12" xfId="1344" xr:uid="{00000000-0005-0000-0000-0000DA040000}"/>
    <cellStyle name="60% - Accent4 2 13" xfId="1345" xr:uid="{00000000-0005-0000-0000-0000DB040000}"/>
    <cellStyle name="60% - Accent4 2 14" xfId="1346" xr:uid="{00000000-0005-0000-0000-0000DC040000}"/>
    <cellStyle name="60% - Accent4 2 15" xfId="1347" xr:uid="{00000000-0005-0000-0000-0000DD040000}"/>
    <cellStyle name="60% - Accent4 2 16" xfId="1348" xr:uid="{00000000-0005-0000-0000-0000DE040000}"/>
    <cellStyle name="60% - Accent4 2 17" xfId="1349" xr:uid="{00000000-0005-0000-0000-0000DF040000}"/>
    <cellStyle name="60% - Accent4 2 2" xfId="1350" xr:uid="{00000000-0005-0000-0000-0000E0040000}"/>
    <cellStyle name="60% - Accent4 2 3" xfId="1351" xr:uid="{00000000-0005-0000-0000-0000E1040000}"/>
    <cellStyle name="60% - Accent4 2 4" xfId="1352" xr:uid="{00000000-0005-0000-0000-0000E2040000}"/>
    <cellStyle name="60% - Accent4 2 5" xfId="1353" xr:uid="{00000000-0005-0000-0000-0000E3040000}"/>
    <cellStyle name="60% - Accent4 2 6" xfId="1354" xr:uid="{00000000-0005-0000-0000-0000E4040000}"/>
    <cellStyle name="60% - Accent4 2 7" xfId="1355" xr:uid="{00000000-0005-0000-0000-0000E5040000}"/>
    <cellStyle name="60% - Accent4 2 8" xfId="1356" xr:uid="{00000000-0005-0000-0000-0000E6040000}"/>
    <cellStyle name="60% - Accent4 2 9" xfId="1357" xr:uid="{00000000-0005-0000-0000-0000E7040000}"/>
    <cellStyle name="60% - Accent4 3 10" xfId="1358" xr:uid="{00000000-0005-0000-0000-0000E8040000}"/>
    <cellStyle name="60% - Accent4 3 11" xfId="1359" xr:uid="{00000000-0005-0000-0000-0000E9040000}"/>
    <cellStyle name="60% - Accent4 3 12" xfId="1360" xr:uid="{00000000-0005-0000-0000-0000EA040000}"/>
    <cellStyle name="60% - Accent4 3 13" xfId="1361" xr:uid="{00000000-0005-0000-0000-0000EB040000}"/>
    <cellStyle name="60% - Accent4 3 14" xfId="1362" xr:uid="{00000000-0005-0000-0000-0000EC040000}"/>
    <cellStyle name="60% - Accent4 3 15" xfId="1363" xr:uid="{00000000-0005-0000-0000-0000ED040000}"/>
    <cellStyle name="60% - Accent4 3 16" xfId="1364" xr:uid="{00000000-0005-0000-0000-0000EE040000}"/>
    <cellStyle name="60% - Accent4 3 17" xfId="1365" xr:uid="{00000000-0005-0000-0000-0000EF040000}"/>
    <cellStyle name="60% - Accent4 3 2" xfId="1366" xr:uid="{00000000-0005-0000-0000-0000F0040000}"/>
    <cellStyle name="60% - Accent4 3 3" xfId="1367" xr:uid="{00000000-0005-0000-0000-0000F1040000}"/>
    <cellStyle name="60% - Accent4 3 4" xfId="1368" xr:uid="{00000000-0005-0000-0000-0000F2040000}"/>
    <cellStyle name="60% - Accent4 3 5" xfId="1369" xr:uid="{00000000-0005-0000-0000-0000F3040000}"/>
    <cellStyle name="60% - Accent4 3 6" xfId="1370" xr:uid="{00000000-0005-0000-0000-0000F4040000}"/>
    <cellStyle name="60% - Accent4 3 7" xfId="1371" xr:uid="{00000000-0005-0000-0000-0000F5040000}"/>
    <cellStyle name="60% - Accent4 3 8" xfId="1372" xr:uid="{00000000-0005-0000-0000-0000F6040000}"/>
    <cellStyle name="60% - Accent4 3 9" xfId="1373" xr:uid="{00000000-0005-0000-0000-0000F7040000}"/>
    <cellStyle name="60% - Accent5 2" xfId="231" xr:uid="{00000000-0005-0000-0000-0000F8040000}"/>
    <cellStyle name="60% - Accent5 2 10" xfId="1374" xr:uid="{00000000-0005-0000-0000-0000F9040000}"/>
    <cellStyle name="60% - Accent5 2 11" xfId="1375" xr:uid="{00000000-0005-0000-0000-0000FA040000}"/>
    <cellStyle name="60% - Accent5 2 12" xfId="1376" xr:uid="{00000000-0005-0000-0000-0000FB040000}"/>
    <cellStyle name="60% - Accent5 2 13" xfId="1377" xr:uid="{00000000-0005-0000-0000-0000FC040000}"/>
    <cellStyle name="60% - Accent5 2 14" xfId="1378" xr:uid="{00000000-0005-0000-0000-0000FD040000}"/>
    <cellStyle name="60% - Accent5 2 15" xfId="1379" xr:uid="{00000000-0005-0000-0000-0000FE040000}"/>
    <cellStyle name="60% - Accent5 2 16" xfId="1380" xr:uid="{00000000-0005-0000-0000-0000FF040000}"/>
    <cellStyle name="60% - Accent5 2 17" xfId="1381" xr:uid="{00000000-0005-0000-0000-000000050000}"/>
    <cellStyle name="60% - Accent5 2 2" xfId="1382" xr:uid="{00000000-0005-0000-0000-000001050000}"/>
    <cellStyle name="60% - Accent5 2 3" xfId="1383" xr:uid="{00000000-0005-0000-0000-000002050000}"/>
    <cellStyle name="60% - Accent5 2 4" xfId="1384" xr:uid="{00000000-0005-0000-0000-000003050000}"/>
    <cellStyle name="60% - Accent5 2 5" xfId="1385" xr:uid="{00000000-0005-0000-0000-000004050000}"/>
    <cellStyle name="60% - Accent5 2 6" xfId="1386" xr:uid="{00000000-0005-0000-0000-000005050000}"/>
    <cellStyle name="60% - Accent5 2 7" xfId="1387" xr:uid="{00000000-0005-0000-0000-000006050000}"/>
    <cellStyle name="60% - Accent5 2 8" xfId="1388" xr:uid="{00000000-0005-0000-0000-000007050000}"/>
    <cellStyle name="60% - Accent5 2 9" xfId="1389" xr:uid="{00000000-0005-0000-0000-000008050000}"/>
    <cellStyle name="60% - Accent5 3 10" xfId="1390" xr:uid="{00000000-0005-0000-0000-000009050000}"/>
    <cellStyle name="60% - Accent5 3 11" xfId="1391" xr:uid="{00000000-0005-0000-0000-00000A050000}"/>
    <cellStyle name="60% - Accent5 3 12" xfId="1392" xr:uid="{00000000-0005-0000-0000-00000B050000}"/>
    <cellStyle name="60% - Accent5 3 13" xfId="1393" xr:uid="{00000000-0005-0000-0000-00000C050000}"/>
    <cellStyle name="60% - Accent5 3 14" xfId="1394" xr:uid="{00000000-0005-0000-0000-00000D050000}"/>
    <cellStyle name="60% - Accent5 3 15" xfId="1395" xr:uid="{00000000-0005-0000-0000-00000E050000}"/>
    <cellStyle name="60% - Accent5 3 16" xfId="1396" xr:uid="{00000000-0005-0000-0000-00000F050000}"/>
    <cellStyle name="60% - Accent5 3 17" xfId="1397" xr:uid="{00000000-0005-0000-0000-000010050000}"/>
    <cellStyle name="60% - Accent5 3 2" xfId="1398" xr:uid="{00000000-0005-0000-0000-000011050000}"/>
    <cellStyle name="60% - Accent5 3 3" xfId="1399" xr:uid="{00000000-0005-0000-0000-000012050000}"/>
    <cellStyle name="60% - Accent5 3 4" xfId="1400" xr:uid="{00000000-0005-0000-0000-000013050000}"/>
    <cellStyle name="60% - Accent5 3 5" xfId="1401" xr:uid="{00000000-0005-0000-0000-000014050000}"/>
    <cellStyle name="60% - Accent5 3 6" xfId="1402" xr:uid="{00000000-0005-0000-0000-000015050000}"/>
    <cellStyle name="60% - Accent5 3 7" xfId="1403" xr:uid="{00000000-0005-0000-0000-000016050000}"/>
    <cellStyle name="60% - Accent5 3 8" xfId="1404" xr:uid="{00000000-0005-0000-0000-000017050000}"/>
    <cellStyle name="60% - Accent5 3 9" xfId="1405" xr:uid="{00000000-0005-0000-0000-000018050000}"/>
    <cellStyle name="60% - Accent6 2" xfId="232" xr:uid="{00000000-0005-0000-0000-000019050000}"/>
    <cellStyle name="60% - Accent6 2 10" xfId="1406" xr:uid="{00000000-0005-0000-0000-00001A050000}"/>
    <cellStyle name="60% - Accent6 2 11" xfId="1407" xr:uid="{00000000-0005-0000-0000-00001B050000}"/>
    <cellStyle name="60% - Accent6 2 12" xfId="1408" xr:uid="{00000000-0005-0000-0000-00001C050000}"/>
    <cellStyle name="60% - Accent6 2 13" xfId="1409" xr:uid="{00000000-0005-0000-0000-00001D050000}"/>
    <cellStyle name="60% - Accent6 2 14" xfId="1410" xr:uid="{00000000-0005-0000-0000-00001E050000}"/>
    <cellStyle name="60% - Accent6 2 15" xfId="1411" xr:uid="{00000000-0005-0000-0000-00001F050000}"/>
    <cellStyle name="60% - Accent6 2 16" xfId="1412" xr:uid="{00000000-0005-0000-0000-000020050000}"/>
    <cellStyle name="60% - Accent6 2 17" xfId="1413" xr:uid="{00000000-0005-0000-0000-000021050000}"/>
    <cellStyle name="60% - Accent6 2 2" xfId="1414" xr:uid="{00000000-0005-0000-0000-000022050000}"/>
    <cellStyle name="60% - Accent6 2 3" xfId="1415" xr:uid="{00000000-0005-0000-0000-000023050000}"/>
    <cellStyle name="60% - Accent6 2 4" xfId="1416" xr:uid="{00000000-0005-0000-0000-000024050000}"/>
    <cellStyle name="60% - Accent6 2 5" xfId="1417" xr:uid="{00000000-0005-0000-0000-000025050000}"/>
    <cellStyle name="60% - Accent6 2 6" xfId="1418" xr:uid="{00000000-0005-0000-0000-000026050000}"/>
    <cellStyle name="60% - Accent6 2 7" xfId="1419" xr:uid="{00000000-0005-0000-0000-000027050000}"/>
    <cellStyle name="60% - Accent6 2 8" xfId="1420" xr:uid="{00000000-0005-0000-0000-000028050000}"/>
    <cellStyle name="60% - Accent6 2 9" xfId="1421" xr:uid="{00000000-0005-0000-0000-000029050000}"/>
    <cellStyle name="60% - Accent6 3 10" xfId="1422" xr:uid="{00000000-0005-0000-0000-00002A050000}"/>
    <cellStyle name="60% - Accent6 3 11" xfId="1423" xr:uid="{00000000-0005-0000-0000-00002B050000}"/>
    <cellStyle name="60% - Accent6 3 12" xfId="1424" xr:uid="{00000000-0005-0000-0000-00002C050000}"/>
    <cellStyle name="60% - Accent6 3 13" xfId="1425" xr:uid="{00000000-0005-0000-0000-00002D050000}"/>
    <cellStyle name="60% - Accent6 3 14" xfId="1426" xr:uid="{00000000-0005-0000-0000-00002E050000}"/>
    <cellStyle name="60% - Accent6 3 15" xfId="1427" xr:uid="{00000000-0005-0000-0000-00002F050000}"/>
    <cellStyle name="60% - Accent6 3 16" xfId="1428" xr:uid="{00000000-0005-0000-0000-000030050000}"/>
    <cellStyle name="60% - Accent6 3 17" xfId="1429" xr:uid="{00000000-0005-0000-0000-000031050000}"/>
    <cellStyle name="60% - Accent6 3 2" xfId="1430" xr:uid="{00000000-0005-0000-0000-000032050000}"/>
    <cellStyle name="60% - Accent6 3 3" xfId="1431" xr:uid="{00000000-0005-0000-0000-000033050000}"/>
    <cellStyle name="60% - Accent6 3 4" xfId="1432" xr:uid="{00000000-0005-0000-0000-000034050000}"/>
    <cellStyle name="60% - Accent6 3 5" xfId="1433" xr:uid="{00000000-0005-0000-0000-000035050000}"/>
    <cellStyle name="60% - Accent6 3 6" xfId="1434" xr:uid="{00000000-0005-0000-0000-000036050000}"/>
    <cellStyle name="60% - Accent6 3 7" xfId="1435" xr:uid="{00000000-0005-0000-0000-000037050000}"/>
    <cellStyle name="60% - Accent6 3 8" xfId="1436" xr:uid="{00000000-0005-0000-0000-000038050000}"/>
    <cellStyle name="60% - Accent6 3 9" xfId="1437" xr:uid="{00000000-0005-0000-0000-000039050000}"/>
    <cellStyle name="60% - Colore 1" xfId="129" xr:uid="{00000000-0005-0000-0000-00003A050000}"/>
    <cellStyle name="60% - Colore 1 2" xfId="297" xr:uid="{00000000-0005-0000-0000-00003B050000}"/>
    <cellStyle name="60% - Colore 1 2 2" xfId="1438" xr:uid="{00000000-0005-0000-0000-00003C050000}"/>
    <cellStyle name="60% - Colore 1 2 2 2" xfId="2571" xr:uid="{00000000-0005-0000-0000-00003D050000}"/>
    <cellStyle name="60% - Colore 1 3" xfId="1439" xr:uid="{00000000-0005-0000-0000-00003E050000}"/>
    <cellStyle name="60% - Colore 1 4" xfId="2572" xr:uid="{00000000-0005-0000-0000-00003F050000}"/>
    <cellStyle name="60% - Colore 2" xfId="130" xr:uid="{00000000-0005-0000-0000-000040050000}"/>
    <cellStyle name="60% - Colore 2 2" xfId="298" xr:uid="{00000000-0005-0000-0000-000041050000}"/>
    <cellStyle name="60% - Colore 2 2 2" xfId="1440" xr:uid="{00000000-0005-0000-0000-000042050000}"/>
    <cellStyle name="60% - Colore 2 2 2 2" xfId="2573" xr:uid="{00000000-0005-0000-0000-000043050000}"/>
    <cellStyle name="60% - Colore 2 3" xfId="1441" xr:uid="{00000000-0005-0000-0000-000044050000}"/>
    <cellStyle name="60% - Colore 2 4" xfId="2574" xr:uid="{00000000-0005-0000-0000-000045050000}"/>
    <cellStyle name="60% - Colore 3" xfId="131" xr:uid="{00000000-0005-0000-0000-000046050000}"/>
    <cellStyle name="60% - Colore 3 10" xfId="132" xr:uid="{00000000-0005-0000-0000-000047050000}"/>
    <cellStyle name="60% - Colore 3 11" xfId="133" xr:uid="{00000000-0005-0000-0000-000048050000}"/>
    <cellStyle name="60% - Colore 3 12" xfId="134" xr:uid="{00000000-0005-0000-0000-000049050000}"/>
    <cellStyle name="60% - Colore 3 13" xfId="135" xr:uid="{00000000-0005-0000-0000-00004A050000}"/>
    <cellStyle name="60% - Colore 3 14" xfId="299" xr:uid="{00000000-0005-0000-0000-00004B050000}"/>
    <cellStyle name="60% - Colore 3 14 2" xfId="1442" xr:uid="{00000000-0005-0000-0000-00004C050000}"/>
    <cellStyle name="60% - Colore 3 14 2 2" xfId="2575" xr:uid="{00000000-0005-0000-0000-00004D050000}"/>
    <cellStyle name="60% - Colore 3 15" xfId="1443" xr:uid="{00000000-0005-0000-0000-00004E050000}"/>
    <cellStyle name="60% - Colore 3 16" xfId="2576" xr:uid="{00000000-0005-0000-0000-00004F050000}"/>
    <cellStyle name="60% - Colore 3 2" xfId="136" xr:uid="{00000000-0005-0000-0000-000050050000}"/>
    <cellStyle name="60% - Colore 3 3" xfId="137" xr:uid="{00000000-0005-0000-0000-000051050000}"/>
    <cellStyle name="60% - Colore 3 4" xfId="138" xr:uid="{00000000-0005-0000-0000-000052050000}"/>
    <cellStyle name="60% - Colore 3 5" xfId="139" xr:uid="{00000000-0005-0000-0000-000053050000}"/>
    <cellStyle name="60% - Colore 3 6" xfId="140" xr:uid="{00000000-0005-0000-0000-000054050000}"/>
    <cellStyle name="60% - Colore 3 7" xfId="141" xr:uid="{00000000-0005-0000-0000-000055050000}"/>
    <cellStyle name="60% - Colore 3 8" xfId="142" xr:uid="{00000000-0005-0000-0000-000056050000}"/>
    <cellStyle name="60% - Colore 3 9" xfId="143" xr:uid="{00000000-0005-0000-0000-000057050000}"/>
    <cellStyle name="60% - Colore 4" xfId="144" xr:uid="{00000000-0005-0000-0000-000058050000}"/>
    <cellStyle name="60% - Colore 4 10" xfId="145" xr:uid="{00000000-0005-0000-0000-000059050000}"/>
    <cellStyle name="60% - Colore 4 11" xfId="146" xr:uid="{00000000-0005-0000-0000-00005A050000}"/>
    <cellStyle name="60% - Colore 4 12" xfId="147" xr:uid="{00000000-0005-0000-0000-00005B050000}"/>
    <cellStyle name="60% - Colore 4 13" xfId="148" xr:uid="{00000000-0005-0000-0000-00005C050000}"/>
    <cellStyle name="60% - Colore 4 14" xfId="300" xr:uid="{00000000-0005-0000-0000-00005D050000}"/>
    <cellStyle name="60% - Colore 4 14 2" xfId="1444" xr:uid="{00000000-0005-0000-0000-00005E050000}"/>
    <cellStyle name="60% - Colore 4 14 2 2" xfId="2577" xr:uid="{00000000-0005-0000-0000-00005F050000}"/>
    <cellStyle name="60% - Colore 4 15" xfId="1445" xr:uid="{00000000-0005-0000-0000-000060050000}"/>
    <cellStyle name="60% - Colore 4 16" xfId="2578" xr:uid="{00000000-0005-0000-0000-000061050000}"/>
    <cellStyle name="60% - Colore 4 2" xfId="149" xr:uid="{00000000-0005-0000-0000-000062050000}"/>
    <cellStyle name="60% - Colore 4 3" xfId="150" xr:uid="{00000000-0005-0000-0000-000063050000}"/>
    <cellStyle name="60% - Colore 4 4" xfId="151" xr:uid="{00000000-0005-0000-0000-000064050000}"/>
    <cellStyle name="60% - Colore 4 5" xfId="152" xr:uid="{00000000-0005-0000-0000-000065050000}"/>
    <cellStyle name="60% - Colore 4 6" xfId="153" xr:uid="{00000000-0005-0000-0000-000066050000}"/>
    <cellStyle name="60% - Colore 4 7" xfId="154" xr:uid="{00000000-0005-0000-0000-000067050000}"/>
    <cellStyle name="60% - Colore 4 8" xfId="155" xr:uid="{00000000-0005-0000-0000-000068050000}"/>
    <cellStyle name="60% - Colore 4 9" xfId="156" xr:uid="{00000000-0005-0000-0000-000069050000}"/>
    <cellStyle name="60% - Colore 5" xfId="157" xr:uid="{00000000-0005-0000-0000-00006A050000}"/>
    <cellStyle name="60% - Colore 5 2" xfId="301" xr:uid="{00000000-0005-0000-0000-00006B050000}"/>
    <cellStyle name="60% - Colore 5 2 2" xfId="1446" xr:uid="{00000000-0005-0000-0000-00006C050000}"/>
    <cellStyle name="60% - Colore 5 2 2 2" xfId="2579" xr:uid="{00000000-0005-0000-0000-00006D050000}"/>
    <cellStyle name="60% - Colore 5 3" xfId="1447" xr:uid="{00000000-0005-0000-0000-00006E050000}"/>
    <cellStyle name="60% - Colore 5 4" xfId="2580" xr:uid="{00000000-0005-0000-0000-00006F050000}"/>
    <cellStyle name="60% - Colore 6" xfId="158" xr:uid="{00000000-0005-0000-0000-000070050000}"/>
    <cellStyle name="60% - Colore 6 10" xfId="159" xr:uid="{00000000-0005-0000-0000-000071050000}"/>
    <cellStyle name="60% - Colore 6 11" xfId="160" xr:uid="{00000000-0005-0000-0000-000072050000}"/>
    <cellStyle name="60% - Colore 6 12" xfId="161" xr:uid="{00000000-0005-0000-0000-000073050000}"/>
    <cellStyle name="60% - Colore 6 13" xfId="162" xr:uid="{00000000-0005-0000-0000-000074050000}"/>
    <cellStyle name="60% - Colore 6 14" xfId="302" xr:uid="{00000000-0005-0000-0000-000075050000}"/>
    <cellStyle name="60% - Colore 6 14 2" xfId="1448" xr:uid="{00000000-0005-0000-0000-000076050000}"/>
    <cellStyle name="60% - Colore 6 14 2 2" xfId="2581" xr:uid="{00000000-0005-0000-0000-000077050000}"/>
    <cellStyle name="60% - Colore 6 15" xfId="1449" xr:uid="{00000000-0005-0000-0000-000078050000}"/>
    <cellStyle name="60% - Colore 6 16" xfId="2582" xr:uid="{00000000-0005-0000-0000-000079050000}"/>
    <cellStyle name="60% - Colore 6 2" xfId="163" xr:uid="{00000000-0005-0000-0000-00007A050000}"/>
    <cellStyle name="60% - Colore 6 3" xfId="164" xr:uid="{00000000-0005-0000-0000-00007B050000}"/>
    <cellStyle name="60% - Colore 6 4" xfId="165" xr:uid="{00000000-0005-0000-0000-00007C050000}"/>
    <cellStyle name="60% - Colore 6 5" xfId="166" xr:uid="{00000000-0005-0000-0000-00007D050000}"/>
    <cellStyle name="60% - Colore 6 6" xfId="167" xr:uid="{00000000-0005-0000-0000-00007E050000}"/>
    <cellStyle name="60% - Colore 6 7" xfId="168" xr:uid="{00000000-0005-0000-0000-00007F050000}"/>
    <cellStyle name="60% - Colore 6 8" xfId="169" xr:uid="{00000000-0005-0000-0000-000080050000}"/>
    <cellStyle name="60% - Colore 6 9" xfId="170" xr:uid="{00000000-0005-0000-0000-000081050000}"/>
    <cellStyle name="Accent1 2" xfId="235" xr:uid="{00000000-0005-0000-0000-000082050000}"/>
    <cellStyle name="Accent1 2 10" xfId="1450" xr:uid="{00000000-0005-0000-0000-000083050000}"/>
    <cellStyle name="Accent1 2 11" xfId="1451" xr:uid="{00000000-0005-0000-0000-000084050000}"/>
    <cellStyle name="Accent1 2 12" xfId="1452" xr:uid="{00000000-0005-0000-0000-000085050000}"/>
    <cellStyle name="Accent1 2 13" xfId="1453" xr:uid="{00000000-0005-0000-0000-000086050000}"/>
    <cellStyle name="Accent1 2 14" xfId="1454" xr:uid="{00000000-0005-0000-0000-000087050000}"/>
    <cellStyle name="Accent1 2 15" xfId="1455" xr:uid="{00000000-0005-0000-0000-000088050000}"/>
    <cellStyle name="Accent1 2 16" xfId="1456" xr:uid="{00000000-0005-0000-0000-000089050000}"/>
    <cellStyle name="Accent1 2 17" xfId="1457" xr:uid="{00000000-0005-0000-0000-00008A050000}"/>
    <cellStyle name="Accent1 2 2" xfId="1458" xr:uid="{00000000-0005-0000-0000-00008B050000}"/>
    <cellStyle name="Accent1 2 3" xfId="1459" xr:uid="{00000000-0005-0000-0000-00008C050000}"/>
    <cellStyle name="Accent1 2 4" xfId="1460" xr:uid="{00000000-0005-0000-0000-00008D050000}"/>
    <cellStyle name="Accent1 2 5" xfId="1461" xr:uid="{00000000-0005-0000-0000-00008E050000}"/>
    <cellStyle name="Accent1 2 6" xfId="1462" xr:uid="{00000000-0005-0000-0000-00008F050000}"/>
    <cellStyle name="Accent1 2 7" xfId="1463" xr:uid="{00000000-0005-0000-0000-000090050000}"/>
    <cellStyle name="Accent1 2 8" xfId="1464" xr:uid="{00000000-0005-0000-0000-000091050000}"/>
    <cellStyle name="Accent1 2 9" xfId="1465" xr:uid="{00000000-0005-0000-0000-000092050000}"/>
    <cellStyle name="Accent1 3 10" xfId="1466" xr:uid="{00000000-0005-0000-0000-000093050000}"/>
    <cellStyle name="Accent1 3 11" xfId="1467" xr:uid="{00000000-0005-0000-0000-000094050000}"/>
    <cellStyle name="Accent1 3 12" xfId="1468" xr:uid="{00000000-0005-0000-0000-000095050000}"/>
    <cellStyle name="Accent1 3 13" xfId="1469" xr:uid="{00000000-0005-0000-0000-000096050000}"/>
    <cellStyle name="Accent1 3 14" xfId="1470" xr:uid="{00000000-0005-0000-0000-000097050000}"/>
    <cellStyle name="Accent1 3 15" xfId="1471" xr:uid="{00000000-0005-0000-0000-000098050000}"/>
    <cellStyle name="Accent1 3 16" xfId="1472" xr:uid="{00000000-0005-0000-0000-000099050000}"/>
    <cellStyle name="Accent1 3 17" xfId="1473" xr:uid="{00000000-0005-0000-0000-00009A050000}"/>
    <cellStyle name="Accent1 3 2" xfId="1474" xr:uid="{00000000-0005-0000-0000-00009B050000}"/>
    <cellStyle name="Accent1 3 3" xfId="1475" xr:uid="{00000000-0005-0000-0000-00009C050000}"/>
    <cellStyle name="Accent1 3 4" xfId="1476" xr:uid="{00000000-0005-0000-0000-00009D050000}"/>
    <cellStyle name="Accent1 3 5" xfId="1477" xr:uid="{00000000-0005-0000-0000-00009E050000}"/>
    <cellStyle name="Accent1 3 6" xfId="1478" xr:uid="{00000000-0005-0000-0000-00009F050000}"/>
    <cellStyle name="Accent1 3 7" xfId="1479" xr:uid="{00000000-0005-0000-0000-0000A0050000}"/>
    <cellStyle name="Accent1 3 8" xfId="1480" xr:uid="{00000000-0005-0000-0000-0000A1050000}"/>
    <cellStyle name="Accent1 3 9" xfId="1481" xr:uid="{00000000-0005-0000-0000-0000A2050000}"/>
    <cellStyle name="Accent2 2" xfId="236" xr:uid="{00000000-0005-0000-0000-0000A3050000}"/>
    <cellStyle name="Accent2 2 10" xfId="1482" xr:uid="{00000000-0005-0000-0000-0000A4050000}"/>
    <cellStyle name="Accent2 2 11" xfId="1483" xr:uid="{00000000-0005-0000-0000-0000A5050000}"/>
    <cellStyle name="Accent2 2 12" xfId="1484" xr:uid="{00000000-0005-0000-0000-0000A6050000}"/>
    <cellStyle name="Accent2 2 13" xfId="1485" xr:uid="{00000000-0005-0000-0000-0000A7050000}"/>
    <cellStyle name="Accent2 2 14" xfId="1486" xr:uid="{00000000-0005-0000-0000-0000A8050000}"/>
    <cellStyle name="Accent2 2 15" xfId="1487" xr:uid="{00000000-0005-0000-0000-0000A9050000}"/>
    <cellStyle name="Accent2 2 16" xfId="1488" xr:uid="{00000000-0005-0000-0000-0000AA050000}"/>
    <cellStyle name="Accent2 2 17" xfId="1489" xr:uid="{00000000-0005-0000-0000-0000AB050000}"/>
    <cellStyle name="Accent2 2 2" xfId="1490" xr:uid="{00000000-0005-0000-0000-0000AC050000}"/>
    <cellStyle name="Accent2 2 3" xfId="1491" xr:uid="{00000000-0005-0000-0000-0000AD050000}"/>
    <cellStyle name="Accent2 2 4" xfId="1492" xr:uid="{00000000-0005-0000-0000-0000AE050000}"/>
    <cellStyle name="Accent2 2 5" xfId="1493" xr:uid="{00000000-0005-0000-0000-0000AF050000}"/>
    <cellStyle name="Accent2 2 6" xfId="1494" xr:uid="{00000000-0005-0000-0000-0000B0050000}"/>
    <cellStyle name="Accent2 2 7" xfId="1495" xr:uid="{00000000-0005-0000-0000-0000B1050000}"/>
    <cellStyle name="Accent2 2 8" xfId="1496" xr:uid="{00000000-0005-0000-0000-0000B2050000}"/>
    <cellStyle name="Accent2 2 9" xfId="1497" xr:uid="{00000000-0005-0000-0000-0000B3050000}"/>
    <cellStyle name="Accent2 3 10" xfId="1498" xr:uid="{00000000-0005-0000-0000-0000B4050000}"/>
    <cellStyle name="Accent2 3 11" xfId="1499" xr:uid="{00000000-0005-0000-0000-0000B5050000}"/>
    <cellStyle name="Accent2 3 12" xfId="1500" xr:uid="{00000000-0005-0000-0000-0000B6050000}"/>
    <cellStyle name="Accent2 3 13" xfId="1501" xr:uid="{00000000-0005-0000-0000-0000B7050000}"/>
    <cellStyle name="Accent2 3 14" xfId="1502" xr:uid="{00000000-0005-0000-0000-0000B8050000}"/>
    <cellStyle name="Accent2 3 15" xfId="1503" xr:uid="{00000000-0005-0000-0000-0000B9050000}"/>
    <cellStyle name="Accent2 3 16" xfId="1504" xr:uid="{00000000-0005-0000-0000-0000BA050000}"/>
    <cellStyle name="Accent2 3 17" xfId="1505" xr:uid="{00000000-0005-0000-0000-0000BB050000}"/>
    <cellStyle name="Accent2 3 2" xfId="1506" xr:uid="{00000000-0005-0000-0000-0000BC050000}"/>
    <cellStyle name="Accent2 3 3" xfId="1507" xr:uid="{00000000-0005-0000-0000-0000BD050000}"/>
    <cellStyle name="Accent2 3 4" xfId="1508" xr:uid="{00000000-0005-0000-0000-0000BE050000}"/>
    <cellStyle name="Accent2 3 5" xfId="1509" xr:uid="{00000000-0005-0000-0000-0000BF050000}"/>
    <cellStyle name="Accent2 3 6" xfId="1510" xr:uid="{00000000-0005-0000-0000-0000C0050000}"/>
    <cellStyle name="Accent2 3 7" xfId="1511" xr:uid="{00000000-0005-0000-0000-0000C1050000}"/>
    <cellStyle name="Accent2 3 8" xfId="1512" xr:uid="{00000000-0005-0000-0000-0000C2050000}"/>
    <cellStyle name="Accent2 3 9" xfId="1513" xr:uid="{00000000-0005-0000-0000-0000C3050000}"/>
    <cellStyle name="Accent3 2" xfId="237" xr:uid="{00000000-0005-0000-0000-0000C4050000}"/>
    <cellStyle name="Accent3 2 10" xfId="1514" xr:uid="{00000000-0005-0000-0000-0000C5050000}"/>
    <cellStyle name="Accent3 2 11" xfId="1515" xr:uid="{00000000-0005-0000-0000-0000C6050000}"/>
    <cellStyle name="Accent3 2 12" xfId="1516" xr:uid="{00000000-0005-0000-0000-0000C7050000}"/>
    <cellStyle name="Accent3 2 13" xfId="1517" xr:uid="{00000000-0005-0000-0000-0000C8050000}"/>
    <cellStyle name="Accent3 2 14" xfId="1518" xr:uid="{00000000-0005-0000-0000-0000C9050000}"/>
    <cellStyle name="Accent3 2 15" xfId="1519" xr:uid="{00000000-0005-0000-0000-0000CA050000}"/>
    <cellStyle name="Accent3 2 16" xfId="1520" xr:uid="{00000000-0005-0000-0000-0000CB050000}"/>
    <cellStyle name="Accent3 2 17" xfId="1521" xr:uid="{00000000-0005-0000-0000-0000CC050000}"/>
    <cellStyle name="Accent3 2 2" xfId="1522" xr:uid="{00000000-0005-0000-0000-0000CD050000}"/>
    <cellStyle name="Accent3 2 3" xfId="1523" xr:uid="{00000000-0005-0000-0000-0000CE050000}"/>
    <cellStyle name="Accent3 2 4" xfId="1524" xr:uid="{00000000-0005-0000-0000-0000CF050000}"/>
    <cellStyle name="Accent3 2 5" xfId="1525" xr:uid="{00000000-0005-0000-0000-0000D0050000}"/>
    <cellStyle name="Accent3 2 6" xfId="1526" xr:uid="{00000000-0005-0000-0000-0000D1050000}"/>
    <cellStyle name="Accent3 2 7" xfId="1527" xr:uid="{00000000-0005-0000-0000-0000D2050000}"/>
    <cellStyle name="Accent3 2 8" xfId="1528" xr:uid="{00000000-0005-0000-0000-0000D3050000}"/>
    <cellStyle name="Accent3 2 9" xfId="1529" xr:uid="{00000000-0005-0000-0000-0000D4050000}"/>
    <cellStyle name="Accent3 3 10" xfId="1530" xr:uid="{00000000-0005-0000-0000-0000D5050000}"/>
    <cellStyle name="Accent3 3 11" xfId="1531" xr:uid="{00000000-0005-0000-0000-0000D6050000}"/>
    <cellStyle name="Accent3 3 12" xfId="1532" xr:uid="{00000000-0005-0000-0000-0000D7050000}"/>
    <cellStyle name="Accent3 3 13" xfId="1533" xr:uid="{00000000-0005-0000-0000-0000D8050000}"/>
    <cellStyle name="Accent3 3 14" xfId="1534" xr:uid="{00000000-0005-0000-0000-0000D9050000}"/>
    <cellStyle name="Accent3 3 15" xfId="1535" xr:uid="{00000000-0005-0000-0000-0000DA050000}"/>
    <cellStyle name="Accent3 3 16" xfId="1536" xr:uid="{00000000-0005-0000-0000-0000DB050000}"/>
    <cellStyle name="Accent3 3 17" xfId="1537" xr:uid="{00000000-0005-0000-0000-0000DC050000}"/>
    <cellStyle name="Accent3 3 2" xfId="1538" xr:uid="{00000000-0005-0000-0000-0000DD050000}"/>
    <cellStyle name="Accent3 3 3" xfId="1539" xr:uid="{00000000-0005-0000-0000-0000DE050000}"/>
    <cellStyle name="Accent3 3 4" xfId="1540" xr:uid="{00000000-0005-0000-0000-0000DF050000}"/>
    <cellStyle name="Accent3 3 5" xfId="1541" xr:uid="{00000000-0005-0000-0000-0000E0050000}"/>
    <cellStyle name="Accent3 3 6" xfId="1542" xr:uid="{00000000-0005-0000-0000-0000E1050000}"/>
    <cellStyle name="Accent3 3 7" xfId="1543" xr:uid="{00000000-0005-0000-0000-0000E2050000}"/>
    <cellStyle name="Accent3 3 8" xfId="1544" xr:uid="{00000000-0005-0000-0000-0000E3050000}"/>
    <cellStyle name="Accent3 3 9" xfId="1545" xr:uid="{00000000-0005-0000-0000-0000E4050000}"/>
    <cellStyle name="Accent4 2" xfId="238" xr:uid="{00000000-0005-0000-0000-0000E5050000}"/>
    <cellStyle name="Accent4 2 10" xfId="1546" xr:uid="{00000000-0005-0000-0000-0000E6050000}"/>
    <cellStyle name="Accent4 2 11" xfId="1547" xr:uid="{00000000-0005-0000-0000-0000E7050000}"/>
    <cellStyle name="Accent4 2 12" xfId="1548" xr:uid="{00000000-0005-0000-0000-0000E8050000}"/>
    <cellStyle name="Accent4 2 13" xfId="1549" xr:uid="{00000000-0005-0000-0000-0000E9050000}"/>
    <cellStyle name="Accent4 2 14" xfId="1550" xr:uid="{00000000-0005-0000-0000-0000EA050000}"/>
    <cellStyle name="Accent4 2 15" xfId="1551" xr:uid="{00000000-0005-0000-0000-0000EB050000}"/>
    <cellStyle name="Accent4 2 16" xfId="1552" xr:uid="{00000000-0005-0000-0000-0000EC050000}"/>
    <cellStyle name="Accent4 2 17" xfId="1553" xr:uid="{00000000-0005-0000-0000-0000ED050000}"/>
    <cellStyle name="Accent4 2 2" xfId="1554" xr:uid="{00000000-0005-0000-0000-0000EE050000}"/>
    <cellStyle name="Accent4 2 3" xfId="1555" xr:uid="{00000000-0005-0000-0000-0000EF050000}"/>
    <cellStyle name="Accent4 2 4" xfId="1556" xr:uid="{00000000-0005-0000-0000-0000F0050000}"/>
    <cellStyle name="Accent4 2 5" xfId="1557" xr:uid="{00000000-0005-0000-0000-0000F1050000}"/>
    <cellStyle name="Accent4 2 6" xfId="1558" xr:uid="{00000000-0005-0000-0000-0000F2050000}"/>
    <cellStyle name="Accent4 2 7" xfId="1559" xr:uid="{00000000-0005-0000-0000-0000F3050000}"/>
    <cellStyle name="Accent4 2 8" xfId="1560" xr:uid="{00000000-0005-0000-0000-0000F4050000}"/>
    <cellStyle name="Accent4 2 9" xfId="1561" xr:uid="{00000000-0005-0000-0000-0000F5050000}"/>
    <cellStyle name="Accent4 3 10" xfId="1562" xr:uid="{00000000-0005-0000-0000-0000F6050000}"/>
    <cellStyle name="Accent4 3 11" xfId="1563" xr:uid="{00000000-0005-0000-0000-0000F7050000}"/>
    <cellStyle name="Accent4 3 12" xfId="1564" xr:uid="{00000000-0005-0000-0000-0000F8050000}"/>
    <cellStyle name="Accent4 3 13" xfId="1565" xr:uid="{00000000-0005-0000-0000-0000F9050000}"/>
    <cellStyle name="Accent4 3 14" xfId="1566" xr:uid="{00000000-0005-0000-0000-0000FA050000}"/>
    <cellStyle name="Accent4 3 15" xfId="1567" xr:uid="{00000000-0005-0000-0000-0000FB050000}"/>
    <cellStyle name="Accent4 3 16" xfId="1568" xr:uid="{00000000-0005-0000-0000-0000FC050000}"/>
    <cellStyle name="Accent4 3 17" xfId="1569" xr:uid="{00000000-0005-0000-0000-0000FD050000}"/>
    <cellStyle name="Accent4 3 2" xfId="1570" xr:uid="{00000000-0005-0000-0000-0000FE050000}"/>
    <cellStyle name="Accent4 3 3" xfId="1571" xr:uid="{00000000-0005-0000-0000-0000FF050000}"/>
    <cellStyle name="Accent4 3 4" xfId="1572" xr:uid="{00000000-0005-0000-0000-000000060000}"/>
    <cellStyle name="Accent4 3 5" xfId="1573" xr:uid="{00000000-0005-0000-0000-000001060000}"/>
    <cellStyle name="Accent4 3 6" xfId="1574" xr:uid="{00000000-0005-0000-0000-000002060000}"/>
    <cellStyle name="Accent4 3 7" xfId="1575" xr:uid="{00000000-0005-0000-0000-000003060000}"/>
    <cellStyle name="Accent4 3 8" xfId="1576" xr:uid="{00000000-0005-0000-0000-000004060000}"/>
    <cellStyle name="Accent4 3 9" xfId="1577" xr:uid="{00000000-0005-0000-0000-000005060000}"/>
    <cellStyle name="Accent5 2" xfId="239" xr:uid="{00000000-0005-0000-0000-000006060000}"/>
    <cellStyle name="Accent5 2 10" xfId="1578" xr:uid="{00000000-0005-0000-0000-000007060000}"/>
    <cellStyle name="Accent5 2 11" xfId="1579" xr:uid="{00000000-0005-0000-0000-000008060000}"/>
    <cellStyle name="Accent5 2 12" xfId="1580" xr:uid="{00000000-0005-0000-0000-000009060000}"/>
    <cellStyle name="Accent5 2 13" xfId="1581" xr:uid="{00000000-0005-0000-0000-00000A060000}"/>
    <cellStyle name="Accent5 2 14" xfId="1582" xr:uid="{00000000-0005-0000-0000-00000B060000}"/>
    <cellStyle name="Accent5 2 15" xfId="1583" xr:uid="{00000000-0005-0000-0000-00000C060000}"/>
    <cellStyle name="Accent5 2 16" xfId="1584" xr:uid="{00000000-0005-0000-0000-00000D060000}"/>
    <cellStyle name="Accent5 2 17" xfId="1585" xr:uid="{00000000-0005-0000-0000-00000E060000}"/>
    <cellStyle name="Accent5 2 2" xfId="1586" xr:uid="{00000000-0005-0000-0000-00000F060000}"/>
    <cellStyle name="Accent5 2 3" xfId="1587" xr:uid="{00000000-0005-0000-0000-000010060000}"/>
    <cellStyle name="Accent5 2 4" xfId="1588" xr:uid="{00000000-0005-0000-0000-000011060000}"/>
    <cellStyle name="Accent5 2 5" xfId="1589" xr:uid="{00000000-0005-0000-0000-000012060000}"/>
    <cellStyle name="Accent5 2 6" xfId="1590" xr:uid="{00000000-0005-0000-0000-000013060000}"/>
    <cellStyle name="Accent5 2 7" xfId="1591" xr:uid="{00000000-0005-0000-0000-000014060000}"/>
    <cellStyle name="Accent5 2 8" xfId="1592" xr:uid="{00000000-0005-0000-0000-000015060000}"/>
    <cellStyle name="Accent5 2 9" xfId="1593" xr:uid="{00000000-0005-0000-0000-000016060000}"/>
    <cellStyle name="Accent5 3 10" xfId="1594" xr:uid="{00000000-0005-0000-0000-000017060000}"/>
    <cellStyle name="Accent5 3 11" xfId="1595" xr:uid="{00000000-0005-0000-0000-000018060000}"/>
    <cellStyle name="Accent5 3 12" xfId="1596" xr:uid="{00000000-0005-0000-0000-000019060000}"/>
    <cellStyle name="Accent5 3 13" xfId="1597" xr:uid="{00000000-0005-0000-0000-00001A060000}"/>
    <cellStyle name="Accent5 3 14" xfId="1598" xr:uid="{00000000-0005-0000-0000-00001B060000}"/>
    <cellStyle name="Accent5 3 15" xfId="1599" xr:uid="{00000000-0005-0000-0000-00001C060000}"/>
    <cellStyle name="Accent5 3 16" xfId="1600" xr:uid="{00000000-0005-0000-0000-00001D060000}"/>
    <cellStyle name="Accent5 3 17" xfId="1601" xr:uid="{00000000-0005-0000-0000-00001E060000}"/>
    <cellStyle name="Accent5 3 2" xfId="1602" xr:uid="{00000000-0005-0000-0000-00001F060000}"/>
    <cellStyle name="Accent5 3 3" xfId="1603" xr:uid="{00000000-0005-0000-0000-000020060000}"/>
    <cellStyle name="Accent5 3 4" xfId="1604" xr:uid="{00000000-0005-0000-0000-000021060000}"/>
    <cellStyle name="Accent5 3 5" xfId="1605" xr:uid="{00000000-0005-0000-0000-000022060000}"/>
    <cellStyle name="Accent5 3 6" xfId="1606" xr:uid="{00000000-0005-0000-0000-000023060000}"/>
    <cellStyle name="Accent5 3 7" xfId="1607" xr:uid="{00000000-0005-0000-0000-000024060000}"/>
    <cellStyle name="Accent5 3 8" xfId="1608" xr:uid="{00000000-0005-0000-0000-000025060000}"/>
    <cellStyle name="Accent5 3 9" xfId="1609" xr:uid="{00000000-0005-0000-0000-000026060000}"/>
    <cellStyle name="Accent6 2" xfId="240" xr:uid="{00000000-0005-0000-0000-000027060000}"/>
    <cellStyle name="Accent6 2 10" xfId="1610" xr:uid="{00000000-0005-0000-0000-000028060000}"/>
    <cellStyle name="Accent6 2 11" xfId="1611" xr:uid="{00000000-0005-0000-0000-000029060000}"/>
    <cellStyle name="Accent6 2 12" xfId="1612" xr:uid="{00000000-0005-0000-0000-00002A060000}"/>
    <cellStyle name="Accent6 2 13" xfId="1613" xr:uid="{00000000-0005-0000-0000-00002B060000}"/>
    <cellStyle name="Accent6 2 14" xfId="1614" xr:uid="{00000000-0005-0000-0000-00002C060000}"/>
    <cellStyle name="Accent6 2 15" xfId="1615" xr:uid="{00000000-0005-0000-0000-00002D060000}"/>
    <cellStyle name="Accent6 2 16" xfId="1616" xr:uid="{00000000-0005-0000-0000-00002E060000}"/>
    <cellStyle name="Accent6 2 17" xfId="1617" xr:uid="{00000000-0005-0000-0000-00002F060000}"/>
    <cellStyle name="Accent6 2 2" xfId="1618" xr:uid="{00000000-0005-0000-0000-000030060000}"/>
    <cellStyle name="Accent6 2 3" xfId="1619" xr:uid="{00000000-0005-0000-0000-000031060000}"/>
    <cellStyle name="Accent6 2 4" xfId="1620" xr:uid="{00000000-0005-0000-0000-000032060000}"/>
    <cellStyle name="Accent6 2 5" xfId="1621" xr:uid="{00000000-0005-0000-0000-000033060000}"/>
    <cellStyle name="Accent6 2 6" xfId="1622" xr:uid="{00000000-0005-0000-0000-000034060000}"/>
    <cellStyle name="Accent6 2 7" xfId="1623" xr:uid="{00000000-0005-0000-0000-000035060000}"/>
    <cellStyle name="Accent6 2 8" xfId="1624" xr:uid="{00000000-0005-0000-0000-000036060000}"/>
    <cellStyle name="Accent6 2 9" xfId="1625" xr:uid="{00000000-0005-0000-0000-000037060000}"/>
    <cellStyle name="Accent6 3 10" xfId="1626" xr:uid="{00000000-0005-0000-0000-000038060000}"/>
    <cellStyle name="Accent6 3 11" xfId="1627" xr:uid="{00000000-0005-0000-0000-000039060000}"/>
    <cellStyle name="Accent6 3 12" xfId="1628" xr:uid="{00000000-0005-0000-0000-00003A060000}"/>
    <cellStyle name="Accent6 3 13" xfId="1629" xr:uid="{00000000-0005-0000-0000-00003B060000}"/>
    <cellStyle name="Accent6 3 14" xfId="1630" xr:uid="{00000000-0005-0000-0000-00003C060000}"/>
    <cellStyle name="Accent6 3 15" xfId="1631" xr:uid="{00000000-0005-0000-0000-00003D060000}"/>
    <cellStyle name="Accent6 3 16" xfId="1632" xr:uid="{00000000-0005-0000-0000-00003E060000}"/>
    <cellStyle name="Accent6 3 17" xfId="1633" xr:uid="{00000000-0005-0000-0000-00003F060000}"/>
    <cellStyle name="Accent6 3 2" xfId="1634" xr:uid="{00000000-0005-0000-0000-000040060000}"/>
    <cellStyle name="Accent6 3 3" xfId="1635" xr:uid="{00000000-0005-0000-0000-000041060000}"/>
    <cellStyle name="Accent6 3 4" xfId="1636" xr:uid="{00000000-0005-0000-0000-000042060000}"/>
    <cellStyle name="Accent6 3 5" xfId="1637" xr:uid="{00000000-0005-0000-0000-000043060000}"/>
    <cellStyle name="Accent6 3 6" xfId="1638" xr:uid="{00000000-0005-0000-0000-000044060000}"/>
    <cellStyle name="Accent6 3 7" xfId="1639" xr:uid="{00000000-0005-0000-0000-000045060000}"/>
    <cellStyle name="Accent6 3 8" xfId="1640" xr:uid="{00000000-0005-0000-0000-000046060000}"/>
    <cellStyle name="Accent6 3 9" xfId="1641" xr:uid="{00000000-0005-0000-0000-000047060000}"/>
    <cellStyle name="Bad 2" xfId="243" xr:uid="{00000000-0005-0000-0000-000048060000}"/>
    <cellStyle name="Bad 2 10" xfId="1642" xr:uid="{00000000-0005-0000-0000-000049060000}"/>
    <cellStyle name="Bad 2 11" xfId="1643" xr:uid="{00000000-0005-0000-0000-00004A060000}"/>
    <cellStyle name="Bad 2 12" xfId="1644" xr:uid="{00000000-0005-0000-0000-00004B060000}"/>
    <cellStyle name="Bad 2 13" xfId="1645" xr:uid="{00000000-0005-0000-0000-00004C060000}"/>
    <cellStyle name="Bad 2 14" xfId="1646" xr:uid="{00000000-0005-0000-0000-00004D060000}"/>
    <cellStyle name="Bad 2 15" xfId="1647" xr:uid="{00000000-0005-0000-0000-00004E060000}"/>
    <cellStyle name="Bad 2 16" xfId="1648" xr:uid="{00000000-0005-0000-0000-00004F060000}"/>
    <cellStyle name="Bad 2 17" xfId="1649" xr:uid="{00000000-0005-0000-0000-000050060000}"/>
    <cellStyle name="Bad 2 2" xfId="1650" xr:uid="{00000000-0005-0000-0000-000051060000}"/>
    <cellStyle name="Bad 2 3" xfId="1651" xr:uid="{00000000-0005-0000-0000-000052060000}"/>
    <cellStyle name="Bad 2 4" xfId="1652" xr:uid="{00000000-0005-0000-0000-000053060000}"/>
    <cellStyle name="Bad 2 5" xfId="1653" xr:uid="{00000000-0005-0000-0000-000054060000}"/>
    <cellStyle name="Bad 2 6" xfId="1654" xr:uid="{00000000-0005-0000-0000-000055060000}"/>
    <cellStyle name="Bad 2 7" xfId="1655" xr:uid="{00000000-0005-0000-0000-000056060000}"/>
    <cellStyle name="Bad 2 8" xfId="1656" xr:uid="{00000000-0005-0000-0000-000057060000}"/>
    <cellStyle name="Bad 2 9" xfId="1657" xr:uid="{00000000-0005-0000-0000-000058060000}"/>
    <cellStyle name="Bad 3 10" xfId="1658" xr:uid="{00000000-0005-0000-0000-000059060000}"/>
    <cellStyle name="Bad 3 11" xfId="1659" xr:uid="{00000000-0005-0000-0000-00005A060000}"/>
    <cellStyle name="Bad 3 12" xfId="1660" xr:uid="{00000000-0005-0000-0000-00005B060000}"/>
    <cellStyle name="Bad 3 13" xfId="1661" xr:uid="{00000000-0005-0000-0000-00005C060000}"/>
    <cellStyle name="Bad 3 14" xfId="1662" xr:uid="{00000000-0005-0000-0000-00005D060000}"/>
    <cellStyle name="Bad 3 15" xfId="1663" xr:uid="{00000000-0005-0000-0000-00005E060000}"/>
    <cellStyle name="Bad 3 16" xfId="1664" xr:uid="{00000000-0005-0000-0000-00005F060000}"/>
    <cellStyle name="Bad 3 17" xfId="1665" xr:uid="{00000000-0005-0000-0000-000060060000}"/>
    <cellStyle name="Bad 3 2" xfId="1666" xr:uid="{00000000-0005-0000-0000-000061060000}"/>
    <cellStyle name="Bad 3 3" xfId="1667" xr:uid="{00000000-0005-0000-0000-000062060000}"/>
    <cellStyle name="Bad 3 4" xfId="1668" xr:uid="{00000000-0005-0000-0000-000063060000}"/>
    <cellStyle name="Bad 3 5" xfId="1669" xr:uid="{00000000-0005-0000-0000-000064060000}"/>
    <cellStyle name="Bad 3 6" xfId="1670" xr:uid="{00000000-0005-0000-0000-000065060000}"/>
    <cellStyle name="Bad 3 7" xfId="1671" xr:uid="{00000000-0005-0000-0000-000066060000}"/>
    <cellStyle name="Bad 3 8" xfId="1672" xr:uid="{00000000-0005-0000-0000-000067060000}"/>
    <cellStyle name="Bad 3 9" xfId="1673" xr:uid="{00000000-0005-0000-0000-000068060000}"/>
    <cellStyle name="Calcolo" xfId="171" xr:uid="{00000000-0005-0000-0000-000069060000}"/>
    <cellStyle name="Calcolo 2" xfId="303" xr:uid="{00000000-0005-0000-0000-00006A060000}"/>
    <cellStyle name="Calcolo 2 2" xfId="1674" xr:uid="{00000000-0005-0000-0000-00006B060000}"/>
    <cellStyle name="Calcolo 2 2 2" xfId="2583" xr:uid="{00000000-0005-0000-0000-00006C060000}"/>
    <cellStyle name="Calcolo 3" xfId="1675" xr:uid="{00000000-0005-0000-0000-00006D060000}"/>
    <cellStyle name="Calcolo 4" xfId="2584" xr:uid="{00000000-0005-0000-0000-00006E060000}"/>
    <cellStyle name="Calculation 2" xfId="242" xr:uid="{00000000-0005-0000-0000-00006F060000}"/>
    <cellStyle name="Calculation 2 10" xfId="1676" xr:uid="{00000000-0005-0000-0000-000070060000}"/>
    <cellStyle name="Calculation 2 11" xfId="1677" xr:uid="{00000000-0005-0000-0000-000071060000}"/>
    <cellStyle name="Calculation 2 12" xfId="1678" xr:uid="{00000000-0005-0000-0000-000072060000}"/>
    <cellStyle name="Calculation 2 13" xfId="1679" xr:uid="{00000000-0005-0000-0000-000073060000}"/>
    <cellStyle name="Calculation 2 14" xfId="1680" xr:uid="{00000000-0005-0000-0000-000074060000}"/>
    <cellStyle name="Calculation 2 15" xfId="1681" xr:uid="{00000000-0005-0000-0000-000075060000}"/>
    <cellStyle name="Calculation 2 16" xfId="1682" xr:uid="{00000000-0005-0000-0000-000076060000}"/>
    <cellStyle name="Calculation 2 17" xfId="1683" xr:uid="{00000000-0005-0000-0000-000077060000}"/>
    <cellStyle name="Calculation 2 2" xfId="1684" xr:uid="{00000000-0005-0000-0000-000078060000}"/>
    <cellStyle name="Calculation 2 3" xfId="1685" xr:uid="{00000000-0005-0000-0000-000079060000}"/>
    <cellStyle name="Calculation 2 4" xfId="1686" xr:uid="{00000000-0005-0000-0000-00007A060000}"/>
    <cellStyle name="Calculation 2 5" xfId="1687" xr:uid="{00000000-0005-0000-0000-00007B060000}"/>
    <cellStyle name="Calculation 2 6" xfId="1688" xr:uid="{00000000-0005-0000-0000-00007C060000}"/>
    <cellStyle name="Calculation 2 7" xfId="1689" xr:uid="{00000000-0005-0000-0000-00007D060000}"/>
    <cellStyle name="Calculation 2 8" xfId="1690" xr:uid="{00000000-0005-0000-0000-00007E060000}"/>
    <cellStyle name="Calculation 2 9" xfId="1691" xr:uid="{00000000-0005-0000-0000-00007F060000}"/>
    <cellStyle name="Calculation 3 10" xfId="1692" xr:uid="{00000000-0005-0000-0000-000080060000}"/>
    <cellStyle name="Calculation 3 11" xfId="1693" xr:uid="{00000000-0005-0000-0000-000081060000}"/>
    <cellStyle name="Calculation 3 12" xfId="1694" xr:uid="{00000000-0005-0000-0000-000082060000}"/>
    <cellStyle name="Calculation 3 13" xfId="1695" xr:uid="{00000000-0005-0000-0000-000083060000}"/>
    <cellStyle name="Calculation 3 14" xfId="1696" xr:uid="{00000000-0005-0000-0000-000084060000}"/>
    <cellStyle name="Calculation 3 15" xfId="1697" xr:uid="{00000000-0005-0000-0000-000085060000}"/>
    <cellStyle name="Calculation 3 16" xfId="1698" xr:uid="{00000000-0005-0000-0000-000086060000}"/>
    <cellStyle name="Calculation 3 17" xfId="1699" xr:uid="{00000000-0005-0000-0000-000087060000}"/>
    <cellStyle name="Calculation 3 2" xfId="1700" xr:uid="{00000000-0005-0000-0000-000088060000}"/>
    <cellStyle name="Calculation 3 3" xfId="1701" xr:uid="{00000000-0005-0000-0000-000089060000}"/>
    <cellStyle name="Calculation 3 4" xfId="1702" xr:uid="{00000000-0005-0000-0000-00008A060000}"/>
    <cellStyle name="Calculation 3 5" xfId="1703" xr:uid="{00000000-0005-0000-0000-00008B060000}"/>
    <cellStyle name="Calculation 3 6" xfId="1704" xr:uid="{00000000-0005-0000-0000-00008C060000}"/>
    <cellStyle name="Calculation 3 7" xfId="1705" xr:uid="{00000000-0005-0000-0000-00008D060000}"/>
    <cellStyle name="Calculation 3 8" xfId="1706" xr:uid="{00000000-0005-0000-0000-00008E060000}"/>
    <cellStyle name="Calculation 3 9" xfId="1707" xr:uid="{00000000-0005-0000-0000-00008F060000}"/>
    <cellStyle name="Cella collegata" xfId="172" xr:uid="{00000000-0005-0000-0000-000090060000}"/>
    <cellStyle name="Cella collegata 2" xfId="304" xr:uid="{00000000-0005-0000-0000-000091060000}"/>
    <cellStyle name="Cella collegata 2 2" xfId="1708" xr:uid="{00000000-0005-0000-0000-000092060000}"/>
    <cellStyle name="Cella collegata 2 2 2" xfId="2585" xr:uid="{00000000-0005-0000-0000-000093060000}"/>
    <cellStyle name="Cella collegata 3" xfId="1709" xr:uid="{00000000-0005-0000-0000-000094060000}"/>
    <cellStyle name="Cella collegata 4" xfId="2586" xr:uid="{00000000-0005-0000-0000-000095060000}"/>
    <cellStyle name="Cella da controllare" xfId="173" xr:uid="{00000000-0005-0000-0000-000096060000}"/>
    <cellStyle name="Cella da controllare 2" xfId="305" xr:uid="{00000000-0005-0000-0000-000097060000}"/>
    <cellStyle name="Cella da controllare 2 2" xfId="1710" xr:uid="{00000000-0005-0000-0000-000098060000}"/>
    <cellStyle name="Cella da controllare 2 2 2" xfId="2587" xr:uid="{00000000-0005-0000-0000-000099060000}"/>
    <cellStyle name="Cella da controllare 3" xfId="1711" xr:uid="{00000000-0005-0000-0000-00009A060000}"/>
    <cellStyle name="Cella da controllare 4" xfId="2588" xr:uid="{00000000-0005-0000-0000-00009B060000}"/>
    <cellStyle name="cf1" xfId="369" xr:uid="{00000000-0005-0000-0000-00009C060000}"/>
    <cellStyle name="Check Cell 2" xfId="252" xr:uid="{00000000-0005-0000-0000-00009D060000}"/>
    <cellStyle name="Check Cell 2 10" xfId="1712" xr:uid="{00000000-0005-0000-0000-00009E060000}"/>
    <cellStyle name="Check Cell 2 11" xfId="1713" xr:uid="{00000000-0005-0000-0000-00009F060000}"/>
    <cellStyle name="Check Cell 2 12" xfId="1714" xr:uid="{00000000-0005-0000-0000-0000A0060000}"/>
    <cellStyle name="Check Cell 2 13" xfId="1715" xr:uid="{00000000-0005-0000-0000-0000A1060000}"/>
    <cellStyle name="Check Cell 2 14" xfId="1716" xr:uid="{00000000-0005-0000-0000-0000A2060000}"/>
    <cellStyle name="Check Cell 2 15" xfId="1717" xr:uid="{00000000-0005-0000-0000-0000A3060000}"/>
    <cellStyle name="Check Cell 2 16" xfId="1718" xr:uid="{00000000-0005-0000-0000-0000A4060000}"/>
    <cellStyle name="Check Cell 2 17" xfId="1719" xr:uid="{00000000-0005-0000-0000-0000A5060000}"/>
    <cellStyle name="Check Cell 2 2" xfId="1720" xr:uid="{00000000-0005-0000-0000-0000A6060000}"/>
    <cellStyle name="Check Cell 2 3" xfId="1721" xr:uid="{00000000-0005-0000-0000-0000A7060000}"/>
    <cellStyle name="Check Cell 2 4" xfId="1722" xr:uid="{00000000-0005-0000-0000-0000A8060000}"/>
    <cellStyle name="Check Cell 2 5" xfId="1723" xr:uid="{00000000-0005-0000-0000-0000A9060000}"/>
    <cellStyle name="Check Cell 2 6" xfId="1724" xr:uid="{00000000-0005-0000-0000-0000AA060000}"/>
    <cellStyle name="Check Cell 2 7" xfId="1725" xr:uid="{00000000-0005-0000-0000-0000AB060000}"/>
    <cellStyle name="Check Cell 2 8" xfId="1726" xr:uid="{00000000-0005-0000-0000-0000AC060000}"/>
    <cellStyle name="Check Cell 2 9" xfId="1727" xr:uid="{00000000-0005-0000-0000-0000AD060000}"/>
    <cellStyle name="Check Cell 3 10" xfId="1728" xr:uid="{00000000-0005-0000-0000-0000AE060000}"/>
    <cellStyle name="Check Cell 3 11" xfId="1729" xr:uid="{00000000-0005-0000-0000-0000AF060000}"/>
    <cellStyle name="Check Cell 3 12" xfId="1730" xr:uid="{00000000-0005-0000-0000-0000B0060000}"/>
    <cellStyle name="Check Cell 3 13" xfId="1731" xr:uid="{00000000-0005-0000-0000-0000B1060000}"/>
    <cellStyle name="Check Cell 3 14" xfId="1732" xr:uid="{00000000-0005-0000-0000-0000B2060000}"/>
    <cellStyle name="Check Cell 3 15" xfId="1733" xr:uid="{00000000-0005-0000-0000-0000B3060000}"/>
    <cellStyle name="Check Cell 3 16" xfId="1734" xr:uid="{00000000-0005-0000-0000-0000B4060000}"/>
    <cellStyle name="Check Cell 3 17" xfId="1735" xr:uid="{00000000-0005-0000-0000-0000B5060000}"/>
    <cellStyle name="Check Cell 3 2" xfId="1736" xr:uid="{00000000-0005-0000-0000-0000B6060000}"/>
    <cellStyle name="Check Cell 3 3" xfId="1737" xr:uid="{00000000-0005-0000-0000-0000B7060000}"/>
    <cellStyle name="Check Cell 3 4" xfId="1738" xr:uid="{00000000-0005-0000-0000-0000B8060000}"/>
    <cellStyle name="Check Cell 3 5" xfId="1739" xr:uid="{00000000-0005-0000-0000-0000B9060000}"/>
    <cellStyle name="Check Cell 3 6" xfId="1740" xr:uid="{00000000-0005-0000-0000-0000BA060000}"/>
    <cellStyle name="Check Cell 3 7" xfId="1741" xr:uid="{00000000-0005-0000-0000-0000BB060000}"/>
    <cellStyle name="Check Cell 3 8" xfId="1742" xr:uid="{00000000-0005-0000-0000-0000BC060000}"/>
    <cellStyle name="Check Cell 3 9" xfId="1743" xr:uid="{00000000-0005-0000-0000-0000BD060000}"/>
    <cellStyle name="Colore 1" xfId="174" xr:uid="{00000000-0005-0000-0000-0000BE060000}"/>
    <cellStyle name="Colore 1 2" xfId="306" xr:uid="{00000000-0005-0000-0000-0000BF060000}"/>
    <cellStyle name="Colore 1 2 2" xfId="1744" xr:uid="{00000000-0005-0000-0000-0000C0060000}"/>
    <cellStyle name="Colore 1 2 2 2" xfId="2589" xr:uid="{00000000-0005-0000-0000-0000C1060000}"/>
    <cellStyle name="Colore 1 3" xfId="1745" xr:uid="{00000000-0005-0000-0000-0000C2060000}"/>
    <cellStyle name="Colore 1 4" xfId="2590" xr:uid="{00000000-0005-0000-0000-0000C3060000}"/>
    <cellStyle name="Colore 2" xfId="175" xr:uid="{00000000-0005-0000-0000-0000C4060000}"/>
    <cellStyle name="Colore 2 2" xfId="307" xr:uid="{00000000-0005-0000-0000-0000C5060000}"/>
    <cellStyle name="Colore 2 2 2" xfId="1746" xr:uid="{00000000-0005-0000-0000-0000C6060000}"/>
    <cellStyle name="Colore 2 2 2 2" xfId="2591" xr:uid="{00000000-0005-0000-0000-0000C7060000}"/>
    <cellStyle name="Colore 2 3" xfId="1747" xr:uid="{00000000-0005-0000-0000-0000C8060000}"/>
    <cellStyle name="Colore 2 4" xfId="2592" xr:uid="{00000000-0005-0000-0000-0000C9060000}"/>
    <cellStyle name="Colore 3" xfId="176" xr:uid="{00000000-0005-0000-0000-0000CA060000}"/>
    <cellStyle name="Colore 3 2" xfId="308" xr:uid="{00000000-0005-0000-0000-0000CB060000}"/>
    <cellStyle name="Colore 3 2 2" xfId="1748" xr:uid="{00000000-0005-0000-0000-0000CC060000}"/>
    <cellStyle name="Colore 3 2 2 2" xfId="2593" xr:uid="{00000000-0005-0000-0000-0000CD060000}"/>
    <cellStyle name="Colore 3 3" xfId="1749" xr:uid="{00000000-0005-0000-0000-0000CE060000}"/>
    <cellStyle name="Colore 3 4" xfId="2594" xr:uid="{00000000-0005-0000-0000-0000CF060000}"/>
    <cellStyle name="Colore 4" xfId="177" xr:uid="{00000000-0005-0000-0000-0000D0060000}"/>
    <cellStyle name="Colore 4 2" xfId="309" xr:uid="{00000000-0005-0000-0000-0000D1060000}"/>
    <cellStyle name="Colore 4 2 2" xfId="1750" xr:uid="{00000000-0005-0000-0000-0000D2060000}"/>
    <cellStyle name="Colore 4 2 2 2" xfId="2595" xr:uid="{00000000-0005-0000-0000-0000D3060000}"/>
    <cellStyle name="Colore 4 3" xfId="1751" xr:uid="{00000000-0005-0000-0000-0000D4060000}"/>
    <cellStyle name="Colore 4 4" xfId="2596" xr:uid="{00000000-0005-0000-0000-0000D5060000}"/>
    <cellStyle name="Colore 5" xfId="178" xr:uid="{00000000-0005-0000-0000-0000D6060000}"/>
    <cellStyle name="Colore 5 2" xfId="310" xr:uid="{00000000-0005-0000-0000-0000D7060000}"/>
    <cellStyle name="Colore 5 2 2" xfId="1752" xr:uid="{00000000-0005-0000-0000-0000D8060000}"/>
    <cellStyle name="Colore 5 2 2 2" xfId="2597" xr:uid="{00000000-0005-0000-0000-0000D9060000}"/>
    <cellStyle name="Colore 5 3" xfId="1753" xr:uid="{00000000-0005-0000-0000-0000DA060000}"/>
    <cellStyle name="Colore 5 4" xfId="2598" xr:uid="{00000000-0005-0000-0000-0000DB060000}"/>
    <cellStyle name="Colore 6" xfId="179" xr:uid="{00000000-0005-0000-0000-0000DC060000}"/>
    <cellStyle name="Colore 6 2" xfId="311" xr:uid="{00000000-0005-0000-0000-0000DD060000}"/>
    <cellStyle name="Colore 6 2 2" xfId="1754" xr:uid="{00000000-0005-0000-0000-0000DE060000}"/>
    <cellStyle name="Colore 6 2 2 2" xfId="2599" xr:uid="{00000000-0005-0000-0000-0000DF060000}"/>
    <cellStyle name="Colore 6 3" xfId="1755" xr:uid="{00000000-0005-0000-0000-0000E0060000}"/>
    <cellStyle name="Colore 6 4" xfId="2600" xr:uid="{00000000-0005-0000-0000-0000E1060000}"/>
    <cellStyle name="Comma 2" xfId="258" xr:uid="{00000000-0005-0000-0000-0000E2060000}"/>
    <cellStyle name="Comma 2 2" xfId="1757" xr:uid="{00000000-0005-0000-0000-0000E3060000}"/>
    <cellStyle name="Comma 2 2 2" xfId="1758" xr:uid="{00000000-0005-0000-0000-0000E4060000}"/>
    <cellStyle name="Comma 2 2 2 2" xfId="2403" xr:uid="{00000000-0005-0000-0000-0000E5060000}"/>
    <cellStyle name="Comma 2 2 2 2 2" xfId="2601" xr:uid="{00000000-0005-0000-0000-0000E6060000}"/>
    <cellStyle name="Comma 2 2 2 2 3" xfId="3169" xr:uid="{00000000-0005-0000-0000-000043080000}"/>
    <cellStyle name="Comma 2 2 2 2 3 2" xfId="3170" xr:uid="{00000000-0005-0000-0000-000044080000}"/>
    <cellStyle name="Comma 2 2 2 2 4" xfId="3171" xr:uid="{00000000-0005-0000-0000-000045080000}"/>
    <cellStyle name="Comma 2 2 2 2 5" xfId="3172" xr:uid="{00000000-0005-0000-0000-000046080000}"/>
    <cellStyle name="Comma 2 2 2 2 6" xfId="3168" xr:uid="{00000000-0005-0000-0000-000041080000}"/>
    <cellStyle name="Comma 2 2 2 3" xfId="2602" xr:uid="{00000000-0005-0000-0000-0000E7060000}"/>
    <cellStyle name="Comma 2 2 2 3 2" xfId="3174" xr:uid="{00000000-0005-0000-0000-000048080000}"/>
    <cellStyle name="Comma 2 2 2 3 2 2" xfId="3493" xr:uid="{00000000-0005-0000-0000-0000A20B0000}"/>
    <cellStyle name="Comma 2 2 2 3 3" xfId="3173" xr:uid="{00000000-0005-0000-0000-000047080000}"/>
    <cellStyle name="Comma 2 2 2 4" xfId="3175" xr:uid="{00000000-0005-0000-0000-000049080000}"/>
    <cellStyle name="Comma 2 2 2 4 2" xfId="3492" xr:uid="{00000000-0005-0000-0000-0000A30B0000}"/>
    <cellStyle name="Comma 2 2 2 5" xfId="3167" xr:uid="{00000000-0005-0000-0000-000040080000}"/>
    <cellStyle name="Comma 2 2 3" xfId="2402" xr:uid="{00000000-0005-0000-0000-0000E8060000}"/>
    <cellStyle name="Comma 2 2 3 2" xfId="2811" xr:uid="{00000000-0005-0000-0000-0000E8060000}"/>
    <cellStyle name="Comma 2 2 3 2 2" xfId="3178" xr:uid="{00000000-0005-0000-0000-00004C080000}"/>
    <cellStyle name="Comma 2 2 3 2 2 2" xfId="3179" xr:uid="{00000000-0005-0000-0000-00004D080000}"/>
    <cellStyle name="Comma 2 2 3 2 3" xfId="3180" xr:uid="{00000000-0005-0000-0000-00004E080000}"/>
    <cellStyle name="Comma 2 2 3 2 4" xfId="3181" xr:uid="{00000000-0005-0000-0000-00004F080000}"/>
    <cellStyle name="Comma 2 2 3 2 5" xfId="3177" xr:uid="{00000000-0005-0000-0000-00004B080000}"/>
    <cellStyle name="Comma 2 2 3 3" xfId="3182" xr:uid="{00000000-0005-0000-0000-000050080000}"/>
    <cellStyle name="Comma 2 2 3 3 2" xfId="3183" xr:uid="{00000000-0005-0000-0000-000051080000}"/>
    <cellStyle name="Comma 2 2 3 3 2 2" xfId="3491" xr:uid="{00000000-0005-0000-0000-0000A50B0000}"/>
    <cellStyle name="Comma 2 2 3 4" xfId="3184" xr:uid="{00000000-0005-0000-0000-000052080000}"/>
    <cellStyle name="Comma 2 2 3 4 2" xfId="3185" xr:uid="{00000000-0005-0000-0000-000053080000}"/>
    <cellStyle name="Comma 2 2 3 5" xfId="3186" xr:uid="{00000000-0005-0000-0000-000054080000}"/>
    <cellStyle name="Comma 2 2 3 6" xfId="3187" xr:uid="{00000000-0005-0000-0000-000055080000}"/>
    <cellStyle name="Comma 2 2 3 7" xfId="3176" xr:uid="{00000000-0005-0000-0000-00004A080000}"/>
    <cellStyle name="Comma 2 2 4" xfId="3188" xr:uid="{00000000-0005-0000-0000-000056080000}"/>
    <cellStyle name="Comma 2 2 4 2" xfId="3490" xr:uid="{00000000-0005-0000-0000-0000A60B0000}"/>
    <cellStyle name="Comma 2 3" xfId="1759" xr:uid="{00000000-0005-0000-0000-0000E9060000}"/>
    <cellStyle name="Comma 2 3 2" xfId="1760" xr:uid="{00000000-0005-0000-0000-0000EA060000}"/>
    <cellStyle name="Comma 2 3 2 2" xfId="2404" xr:uid="{00000000-0005-0000-0000-0000EB060000}"/>
    <cellStyle name="Comma 2 3 2 2 2" xfId="2812" xr:uid="{00000000-0005-0000-0000-0000EB060000}"/>
    <cellStyle name="Comma 2 3 2 2 2 2" xfId="3191" xr:uid="{00000000-0005-0000-0000-00005B080000}"/>
    <cellStyle name="Comma 2 3 2 2 2 2 2" xfId="3192" xr:uid="{00000000-0005-0000-0000-00005C080000}"/>
    <cellStyle name="Comma 2 3 2 2 2 3" xfId="3193" xr:uid="{00000000-0005-0000-0000-00005D080000}"/>
    <cellStyle name="Comma 2 3 2 2 2 4" xfId="3194" xr:uid="{00000000-0005-0000-0000-00005E080000}"/>
    <cellStyle name="Comma 2 3 2 2 2 5" xfId="3190" xr:uid="{00000000-0005-0000-0000-00005A080000}"/>
    <cellStyle name="Comma 2 3 2 2 3" xfId="3195" xr:uid="{00000000-0005-0000-0000-00005F080000}"/>
    <cellStyle name="Comma 2 3 2 2 3 2" xfId="3196" xr:uid="{00000000-0005-0000-0000-000060080000}"/>
    <cellStyle name="Comma 2 3 2 2 4" xfId="3197" xr:uid="{00000000-0005-0000-0000-000061080000}"/>
    <cellStyle name="Comma 2 3 2 2 5" xfId="3198" xr:uid="{00000000-0005-0000-0000-000062080000}"/>
    <cellStyle name="Comma 2 3 2 2 6" xfId="3189" xr:uid="{00000000-0005-0000-0000-000059080000}"/>
    <cellStyle name="Comma 2 3 2 3" xfId="3489" xr:uid="{00000000-0005-0000-0000-0000A70B0000}"/>
    <cellStyle name="Comma 2 3 3" xfId="2603" xr:uid="{00000000-0005-0000-0000-0000EC060000}"/>
    <cellStyle name="Comma 2 4" xfId="1761" xr:uid="{00000000-0005-0000-0000-0000ED060000}"/>
    <cellStyle name="Comma 2 4 2" xfId="2604" xr:uid="{00000000-0005-0000-0000-0000EE060000}"/>
    <cellStyle name="Comma 2 4 3" xfId="2605" xr:uid="{00000000-0005-0000-0000-0000EF060000}"/>
    <cellStyle name="Comma 2 4 3 2" xfId="3201" xr:uid="{00000000-0005-0000-0000-000067080000}"/>
    <cellStyle name="Comma 2 4 3 2 2" xfId="3488" xr:uid="{00000000-0005-0000-0000-0000A80B0000}"/>
    <cellStyle name="Comma 2 4 3 3" xfId="3200" xr:uid="{00000000-0005-0000-0000-000066080000}"/>
    <cellStyle name="Comma 2 4 4" xfId="3202" xr:uid="{00000000-0005-0000-0000-000068080000}"/>
    <cellStyle name="Comma 2 4 4 2" xfId="3487" xr:uid="{00000000-0005-0000-0000-0000A90B0000}"/>
    <cellStyle name="Comma 2 4 5" xfId="3199" xr:uid="{00000000-0005-0000-0000-000064080000}"/>
    <cellStyle name="Comma 2 5" xfId="1762" xr:uid="{00000000-0005-0000-0000-0000F0060000}"/>
    <cellStyle name="Comma 2 5 2" xfId="2606" xr:uid="{00000000-0005-0000-0000-0000F1060000}"/>
    <cellStyle name="Comma 2 6" xfId="1756" xr:uid="{00000000-0005-0000-0000-0000F2060000}"/>
    <cellStyle name="Comma 2 6 2" xfId="3204" xr:uid="{00000000-0005-0000-0000-00006C080000}"/>
    <cellStyle name="Comma 2 6 2 2" xfId="3486" xr:uid="{00000000-0005-0000-0000-0000AB0B0000}"/>
    <cellStyle name="Comma 2 6 3" xfId="3203" xr:uid="{00000000-0005-0000-0000-00006B080000}"/>
    <cellStyle name="Comma 2 7" xfId="2401" xr:uid="{00000000-0005-0000-0000-0000F3060000}"/>
    <cellStyle name="Comma 2 7 2" xfId="2607" xr:uid="{00000000-0005-0000-0000-0000F4060000}"/>
    <cellStyle name="Comma 2 7 3" xfId="3206" xr:uid="{00000000-0005-0000-0000-00006F080000}"/>
    <cellStyle name="Comma 2 7 3 2" xfId="3207" xr:uid="{00000000-0005-0000-0000-000070080000}"/>
    <cellStyle name="Comma 2 7 3 2 2" xfId="3485" xr:uid="{00000000-0005-0000-0000-0000AC0B0000}"/>
    <cellStyle name="Comma 2 7 4" xfId="3208" xr:uid="{00000000-0005-0000-0000-000071080000}"/>
    <cellStyle name="Comma 2 7 4 2" xfId="3209" xr:uid="{00000000-0005-0000-0000-000072080000}"/>
    <cellStyle name="Comma 2 7 5" xfId="3210" xr:uid="{00000000-0005-0000-0000-000073080000}"/>
    <cellStyle name="Comma 2 7 6" xfId="3211" xr:uid="{00000000-0005-0000-0000-000074080000}"/>
    <cellStyle name="Comma 2 7 7" xfId="3205" xr:uid="{00000000-0005-0000-0000-00006D080000}"/>
    <cellStyle name="Comma 2 8" xfId="3212" xr:uid="{00000000-0005-0000-0000-000075080000}"/>
    <cellStyle name="Comma 2 9" xfId="3213" xr:uid="{00000000-0005-0000-0000-000076080000}"/>
    <cellStyle name="Comma 3" xfId="259" xr:uid="{00000000-0005-0000-0000-0000F5060000}"/>
    <cellStyle name="Comma 3 2" xfId="1764" xr:uid="{00000000-0005-0000-0000-0000F6060000}"/>
    <cellStyle name="Comma 3 2 2" xfId="1765" xr:uid="{00000000-0005-0000-0000-0000F7060000}"/>
    <cellStyle name="Comma 3 2 2 2" xfId="2608" xr:uid="{00000000-0005-0000-0000-0000F8060000}"/>
    <cellStyle name="Comma 3 2 3" xfId="2405" xr:uid="{00000000-0005-0000-0000-0000F9060000}"/>
    <cellStyle name="Comma 3 2 3 2" xfId="3215" xr:uid="{00000000-0005-0000-0000-00007C080000}"/>
    <cellStyle name="Comma 3 2 3 2 2" xfId="3216" xr:uid="{00000000-0005-0000-0000-00007D080000}"/>
    <cellStyle name="Comma 3 2 3 3" xfId="3217" xr:uid="{00000000-0005-0000-0000-00007E080000}"/>
    <cellStyle name="Comma 3 2 3 4" xfId="3218" xr:uid="{00000000-0005-0000-0000-00007F080000}"/>
    <cellStyle name="Comma 3 2 3 5" xfId="3214" xr:uid="{00000000-0005-0000-0000-00007B080000}"/>
    <cellStyle name="Comma 3 2 4" xfId="3484" xr:uid="{00000000-0005-0000-0000-0000AD0B0000}"/>
    <cellStyle name="Comma 3 3" xfId="1763" xr:uid="{00000000-0005-0000-0000-0000FA060000}"/>
    <cellStyle name="Comma 3 3 2" xfId="2406" xr:uid="{00000000-0005-0000-0000-0000FB060000}"/>
    <cellStyle name="Comma 3 3 2 2" xfId="3220" xr:uid="{00000000-0005-0000-0000-000082080000}"/>
    <cellStyle name="Comma 3 3 2 2 2" xfId="3221" xr:uid="{00000000-0005-0000-0000-000083080000}"/>
    <cellStyle name="Comma 3 3 2 3" xfId="3222" xr:uid="{00000000-0005-0000-0000-000084080000}"/>
    <cellStyle name="Comma 3 3 2 4" xfId="3223" xr:uid="{00000000-0005-0000-0000-000085080000}"/>
    <cellStyle name="Comma 3 3 2 5" xfId="3219" xr:uid="{00000000-0005-0000-0000-000081080000}"/>
    <cellStyle name="Comma 3 4" xfId="2609" xr:uid="{00000000-0005-0000-0000-0000FC060000}"/>
    <cellStyle name="Comma 3 4 2" xfId="3483" xr:uid="{00000000-0005-0000-0000-0000AE0B0000}"/>
    <cellStyle name="Comma 3 5" xfId="2756" xr:uid="{00000000-0005-0000-0000-0000CA000000}"/>
    <cellStyle name="Comma 3 5 2" xfId="3225" xr:uid="{00000000-0005-0000-0000-000088080000}"/>
    <cellStyle name="Comma 3 5 2 2" xfId="3226" xr:uid="{00000000-0005-0000-0000-000089080000}"/>
    <cellStyle name="Comma 3 5 3" xfId="3227" xr:uid="{00000000-0005-0000-0000-00008A080000}"/>
    <cellStyle name="Comma 3 5 4" xfId="3228" xr:uid="{00000000-0005-0000-0000-00008B080000}"/>
    <cellStyle name="Comma 3 5 5" xfId="3224" xr:uid="{00000000-0005-0000-0000-000087080000}"/>
    <cellStyle name="Comma 3 6" xfId="3229" xr:uid="{00000000-0005-0000-0000-00008C080000}"/>
    <cellStyle name="Comma 3 6 2" xfId="3230" xr:uid="{00000000-0005-0000-0000-00008D080000}"/>
    <cellStyle name="Comma 3 7" xfId="3231" xr:uid="{00000000-0005-0000-0000-00008E080000}"/>
    <cellStyle name="Comma 3 7 2" xfId="3232" xr:uid="{00000000-0005-0000-0000-00008F080000}"/>
    <cellStyle name="Comma 3 8" xfId="3233" xr:uid="{00000000-0005-0000-0000-000090080000}"/>
    <cellStyle name="Comma 4" xfId="37" xr:uid="{00000000-0005-0000-0000-0000FD060000}"/>
    <cellStyle name="Comma 4 2" xfId="1767" xr:uid="{00000000-0005-0000-0000-0000FE060000}"/>
    <cellStyle name="Comma 4 2 2" xfId="1768" xr:uid="{00000000-0005-0000-0000-0000FF060000}"/>
    <cellStyle name="Comma 4 2 2 2" xfId="2610" xr:uid="{00000000-0005-0000-0000-000000070000}"/>
    <cellStyle name="Comma 4 2 3" xfId="2611" xr:uid="{00000000-0005-0000-0000-000001070000}"/>
    <cellStyle name="Comma 4 2 4" xfId="2612" xr:uid="{00000000-0005-0000-0000-000002070000}"/>
    <cellStyle name="Comma 4 2 4 2" xfId="3236" xr:uid="{00000000-0005-0000-0000-000097080000}"/>
    <cellStyle name="Comma 4 2 4 2 2" xfId="3482" xr:uid="{00000000-0005-0000-0000-0000B00B0000}"/>
    <cellStyle name="Comma 4 2 4 3" xfId="3235" xr:uid="{00000000-0005-0000-0000-000096080000}"/>
    <cellStyle name="Comma 4 2 5" xfId="3237" xr:uid="{00000000-0005-0000-0000-000098080000}"/>
    <cellStyle name="Comma 4 2 5 2" xfId="3481" xr:uid="{00000000-0005-0000-0000-0000B10B0000}"/>
    <cellStyle name="Comma 4 2 6" xfId="3234" xr:uid="{00000000-0005-0000-0000-000092080000}"/>
    <cellStyle name="Comma 4 3" xfId="1769" xr:uid="{00000000-0005-0000-0000-000003070000}"/>
    <cellStyle name="Comma 4 3 2" xfId="2614" xr:uid="{00000000-0005-0000-0000-000004070000}"/>
    <cellStyle name="Comma 4 3 3" xfId="2615" xr:uid="{00000000-0005-0000-0000-000005070000}"/>
    <cellStyle name="Comma 4 3 3 2" xfId="3240" xr:uid="{00000000-0005-0000-0000-00009C080000}"/>
    <cellStyle name="Comma 4 3 3 2 2" xfId="3480" xr:uid="{00000000-0005-0000-0000-0000B30B0000}"/>
    <cellStyle name="Comma 4 3 3 3" xfId="3239" xr:uid="{00000000-0005-0000-0000-00009B080000}"/>
    <cellStyle name="Comma 4 3 4" xfId="2613" xr:uid="{00000000-0005-0000-0000-000006070000}"/>
    <cellStyle name="Comma 4 3 4 2" xfId="3242" xr:uid="{00000000-0005-0000-0000-00009E080000}"/>
    <cellStyle name="Comma 4 3 4 2 2" xfId="3479" xr:uid="{00000000-0005-0000-0000-0000B40B0000}"/>
    <cellStyle name="Comma 4 3 4 3" xfId="3241" xr:uid="{00000000-0005-0000-0000-00009D080000}"/>
    <cellStyle name="Comma 4 3 5" xfId="2789" xr:uid="{00000000-0005-0000-0000-000003070000}"/>
    <cellStyle name="Comma 4 3 5 2" xfId="3244" xr:uid="{00000000-0005-0000-0000-0000A0080000}"/>
    <cellStyle name="Comma 4 3 5 2 2" xfId="3245" xr:uid="{00000000-0005-0000-0000-0000A1080000}"/>
    <cellStyle name="Comma 4 3 5 3" xfId="3246" xr:uid="{00000000-0005-0000-0000-0000A2080000}"/>
    <cellStyle name="Comma 4 3 5 4" xfId="3247" xr:uid="{00000000-0005-0000-0000-0000A3080000}"/>
    <cellStyle name="Comma 4 3 5 5" xfId="3243" xr:uid="{00000000-0005-0000-0000-00009F080000}"/>
    <cellStyle name="Comma 4 3 6" xfId="3248" xr:uid="{00000000-0005-0000-0000-0000A4080000}"/>
    <cellStyle name="Comma 4 3 6 2" xfId="3249" xr:uid="{00000000-0005-0000-0000-0000A5080000}"/>
    <cellStyle name="Comma 4 3 6 2 2" xfId="3478" xr:uid="{00000000-0005-0000-0000-0000B50B0000}"/>
    <cellStyle name="Comma 4 3 7" xfId="3250" xr:uid="{00000000-0005-0000-0000-0000A6080000}"/>
    <cellStyle name="Comma 4 3 7 2" xfId="3251" xr:uid="{00000000-0005-0000-0000-0000A7080000}"/>
    <cellStyle name="Comma 4 3 8" xfId="3252" xr:uid="{00000000-0005-0000-0000-0000A8080000}"/>
    <cellStyle name="Comma 4 3 9" xfId="3238" xr:uid="{00000000-0005-0000-0000-000099080000}"/>
    <cellStyle name="Comma 4 4" xfId="1766" xr:uid="{00000000-0005-0000-0000-000007070000}"/>
    <cellStyle name="Comma 4 5" xfId="2616" xr:uid="{00000000-0005-0000-0000-000008070000}"/>
    <cellStyle name="Comma 4 6" xfId="2739" xr:uid="{00000000-0005-0000-0000-0000CB000000}"/>
    <cellStyle name="Comma 4 6 2" xfId="3254" xr:uid="{00000000-0005-0000-0000-0000AC080000}"/>
    <cellStyle name="Comma 4 6 2 2" xfId="3255" xr:uid="{00000000-0005-0000-0000-0000AD080000}"/>
    <cellStyle name="Comma 4 6 3" xfId="3256" xr:uid="{00000000-0005-0000-0000-0000AE080000}"/>
    <cellStyle name="Comma 4 6 4" xfId="3257" xr:uid="{00000000-0005-0000-0000-0000AF080000}"/>
    <cellStyle name="Comma 4 6 5" xfId="3253" xr:uid="{00000000-0005-0000-0000-0000AB080000}"/>
    <cellStyle name="Comma 4 7" xfId="3258" xr:uid="{00000000-0005-0000-0000-0000B0080000}"/>
    <cellStyle name="Comma 4 7 2" xfId="3259" xr:uid="{00000000-0005-0000-0000-0000B1080000}"/>
    <cellStyle name="Comma 4 8" xfId="3260" xr:uid="{00000000-0005-0000-0000-0000B2080000}"/>
    <cellStyle name="Comma 4 8 2" xfId="3261" xr:uid="{00000000-0005-0000-0000-0000B3080000}"/>
    <cellStyle name="Comma 4 9" xfId="3262" xr:uid="{00000000-0005-0000-0000-0000B4080000}"/>
    <cellStyle name="Comma 5" xfId="1770" xr:uid="{00000000-0005-0000-0000-000009070000}"/>
    <cellStyle name="Comma 5 2" xfId="2617" xr:uid="{00000000-0005-0000-0000-00000A070000}"/>
    <cellStyle name="Comma 5 3" xfId="2618" xr:uid="{00000000-0005-0000-0000-00000B070000}"/>
    <cellStyle name="Comma 5 3 2" xfId="3265" xr:uid="{00000000-0005-0000-0000-0000B8080000}"/>
    <cellStyle name="Comma 5 3 2 2" xfId="3477" xr:uid="{00000000-0005-0000-0000-0000B70B0000}"/>
    <cellStyle name="Comma 5 3 3" xfId="3264" xr:uid="{00000000-0005-0000-0000-0000B7080000}"/>
    <cellStyle name="Comma 5 4" xfId="3266" xr:uid="{00000000-0005-0000-0000-0000B9080000}"/>
    <cellStyle name="Comma 5 4 2" xfId="3476" xr:uid="{00000000-0005-0000-0000-0000B80B0000}"/>
    <cellStyle name="Comma 5 5" xfId="3263" xr:uid="{00000000-0005-0000-0000-0000B5080000}"/>
    <cellStyle name="Comma 6" xfId="2619" xr:uid="{00000000-0005-0000-0000-00000C070000}"/>
    <cellStyle name="Comma 7" xfId="3267" xr:uid="{00000000-0005-0000-0000-0000BB080000}"/>
    <cellStyle name="Comma 7 2" xfId="3268" xr:uid="{00000000-0005-0000-0000-0000BC080000}"/>
    <cellStyle name="Explanatory Text 2" xfId="253" xr:uid="{00000000-0005-0000-0000-00000D070000}"/>
    <cellStyle name="Explanatory Text 2 10" xfId="1771" xr:uid="{00000000-0005-0000-0000-00000E070000}"/>
    <cellStyle name="Explanatory Text 2 11" xfId="1772" xr:uid="{00000000-0005-0000-0000-00000F070000}"/>
    <cellStyle name="Explanatory Text 2 12" xfId="1773" xr:uid="{00000000-0005-0000-0000-000010070000}"/>
    <cellStyle name="Explanatory Text 2 13" xfId="1774" xr:uid="{00000000-0005-0000-0000-000011070000}"/>
    <cellStyle name="Explanatory Text 2 14" xfId="1775" xr:uid="{00000000-0005-0000-0000-000012070000}"/>
    <cellStyle name="Explanatory Text 2 15" xfId="1776" xr:uid="{00000000-0005-0000-0000-000013070000}"/>
    <cellStyle name="Explanatory Text 2 16" xfId="1777" xr:uid="{00000000-0005-0000-0000-000014070000}"/>
    <cellStyle name="Explanatory Text 2 17" xfId="1778" xr:uid="{00000000-0005-0000-0000-000015070000}"/>
    <cellStyle name="Explanatory Text 2 2" xfId="1779" xr:uid="{00000000-0005-0000-0000-000016070000}"/>
    <cellStyle name="Explanatory Text 2 3" xfId="1780" xr:uid="{00000000-0005-0000-0000-000017070000}"/>
    <cellStyle name="Explanatory Text 2 4" xfId="1781" xr:uid="{00000000-0005-0000-0000-000018070000}"/>
    <cellStyle name="Explanatory Text 2 5" xfId="1782" xr:uid="{00000000-0005-0000-0000-000019070000}"/>
    <cellStyle name="Explanatory Text 2 6" xfId="1783" xr:uid="{00000000-0005-0000-0000-00001A070000}"/>
    <cellStyle name="Explanatory Text 2 7" xfId="1784" xr:uid="{00000000-0005-0000-0000-00001B070000}"/>
    <cellStyle name="Explanatory Text 2 8" xfId="1785" xr:uid="{00000000-0005-0000-0000-00001C070000}"/>
    <cellStyle name="Explanatory Text 2 9" xfId="1786" xr:uid="{00000000-0005-0000-0000-00001D070000}"/>
    <cellStyle name="Explanatory Text 3 10" xfId="1787" xr:uid="{00000000-0005-0000-0000-00001E070000}"/>
    <cellStyle name="Explanatory Text 3 11" xfId="1788" xr:uid="{00000000-0005-0000-0000-00001F070000}"/>
    <cellStyle name="Explanatory Text 3 12" xfId="1789" xr:uid="{00000000-0005-0000-0000-000020070000}"/>
    <cellStyle name="Explanatory Text 3 13" xfId="1790" xr:uid="{00000000-0005-0000-0000-000021070000}"/>
    <cellStyle name="Explanatory Text 3 14" xfId="1791" xr:uid="{00000000-0005-0000-0000-000022070000}"/>
    <cellStyle name="Explanatory Text 3 15" xfId="1792" xr:uid="{00000000-0005-0000-0000-000023070000}"/>
    <cellStyle name="Explanatory Text 3 16" xfId="1793" xr:uid="{00000000-0005-0000-0000-000024070000}"/>
    <cellStyle name="Explanatory Text 3 17" xfId="1794" xr:uid="{00000000-0005-0000-0000-000025070000}"/>
    <cellStyle name="Explanatory Text 3 2" xfId="1795" xr:uid="{00000000-0005-0000-0000-000026070000}"/>
    <cellStyle name="Explanatory Text 3 3" xfId="1796" xr:uid="{00000000-0005-0000-0000-000027070000}"/>
    <cellStyle name="Explanatory Text 3 4" xfId="1797" xr:uid="{00000000-0005-0000-0000-000028070000}"/>
    <cellStyle name="Explanatory Text 3 5" xfId="1798" xr:uid="{00000000-0005-0000-0000-000029070000}"/>
    <cellStyle name="Explanatory Text 3 6" xfId="1799" xr:uid="{00000000-0005-0000-0000-00002A070000}"/>
    <cellStyle name="Explanatory Text 3 7" xfId="1800" xr:uid="{00000000-0005-0000-0000-00002B070000}"/>
    <cellStyle name="Explanatory Text 3 8" xfId="1801" xr:uid="{00000000-0005-0000-0000-00002C070000}"/>
    <cellStyle name="Explanatory Text 3 9" xfId="1802" xr:uid="{00000000-0005-0000-0000-00002D070000}"/>
    <cellStyle name="Good 2" xfId="234" xr:uid="{00000000-0005-0000-0000-00002E070000}"/>
    <cellStyle name="Good 2 10" xfId="1803" xr:uid="{00000000-0005-0000-0000-00002F070000}"/>
    <cellStyle name="Good 2 11" xfId="1804" xr:uid="{00000000-0005-0000-0000-000030070000}"/>
    <cellStyle name="Good 2 12" xfId="1805" xr:uid="{00000000-0005-0000-0000-000031070000}"/>
    <cellStyle name="Good 2 13" xfId="1806" xr:uid="{00000000-0005-0000-0000-000032070000}"/>
    <cellStyle name="Good 2 14" xfId="1807" xr:uid="{00000000-0005-0000-0000-000033070000}"/>
    <cellStyle name="Good 2 15" xfId="1808" xr:uid="{00000000-0005-0000-0000-000034070000}"/>
    <cellStyle name="Good 2 16" xfId="1809" xr:uid="{00000000-0005-0000-0000-000035070000}"/>
    <cellStyle name="Good 2 17" xfId="1810" xr:uid="{00000000-0005-0000-0000-000036070000}"/>
    <cellStyle name="Good 2 2" xfId="1811" xr:uid="{00000000-0005-0000-0000-000037070000}"/>
    <cellStyle name="Good 2 3" xfId="1812" xr:uid="{00000000-0005-0000-0000-000038070000}"/>
    <cellStyle name="Good 2 4" xfId="1813" xr:uid="{00000000-0005-0000-0000-000039070000}"/>
    <cellStyle name="Good 2 5" xfId="1814" xr:uid="{00000000-0005-0000-0000-00003A070000}"/>
    <cellStyle name="Good 2 6" xfId="1815" xr:uid="{00000000-0005-0000-0000-00003B070000}"/>
    <cellStyle name="Good 2 7" xfId="1816" xr:uid="{00000000-0005-0000-0000-00003C070000}"/>
    <cellStyle name="Good 2 8" xfId="1817" xr:uid="{00000000-0005-0000-0000-00003D070000}"/>
    <cellStyle name="Good 2 9" xfId="1818" xr:uid="{00000000-0005-0000-0000-00003E070000}"/>
    <cellStyle name="Good 3 10" xfId="1819" xr:uid="{00000000-0005-0000-0000-00003F070000}"/>
    <cellStyle name="Good 3 11" xfId="1820" xr:uid="{00000000-0005-0000-0000-000040070000}"/>
    <cellStyle name="Good 3 12" xfId="1821" xr:uid="{00000000-0005-0000-0000-000041070000}"/>
    <cellStyle name="Good 3 13" xfId="1822" xr:uid="{00000000-0005-0000-0000-000042070000}"/>
    <cellStyle name="Good 3 14" xfId="1823" xr:uid="{00000000-0005-0000-0000-000043070000}"/>
    <cellStyle name="Good 3 15" xfId="1824" xr:uid="{00000000-0005-0000-0000-000044070000}"/>
    <cellStyle name="Good 3 16" xfId="1825" xr:uid="{00000000-0005-0000-0000-000045070000}"/>
    <cellStyle name="Good 3 17" xfId="1826" xr:uid="{00000000-0005-0000-0000-000046070000}"/>
    <cellStyle name="Good 3 2" xfId="1827" xr:uid="{00000000-0005-0000-0000-000047070000}"/>
    <cellStyle name="Good 3 3" xfId="1828" xr:uid="{00000000-0005-0000-0000-000048070000}"/>
    <cellStyle name="Good 3 4" xfId="1829" xr:uid="{00000000-0005-0000-0000-000049070000}"/>
    <cellStyle name="Good 3 5" xfId="1830" xr:uid="{00000000-0005-0000-0000-00004A070000}"/>
    <cellStyle name="Good 3 6" xfId="1831" xr:uid="{00000000-0005-0000-0000-00004B070000}"/>
    <cellStyle name="Good 3 7" xfId="1832" xr:uid="{00000000-0005-0000-0000-00004C070000}"/>
    <cellStyle name="Good 3 8" xfId="1833" xr:uid="{00000000-0005-0000-0000-00004D070000}"/>
    <cellStyle name="Good 3 9" xfId="1834" xr:uid="{00000000-0005-0000-0000-00004E070000}"/>
    <cellStyle name="Heading 1 2" xfId="245" xr:uid="{00000000-0005-0000-0000-00004F070000}"/>
    <cellStyle name="Heading 1 2 10" xfId="1835" xr:uid="{00000000-0005-0000-0000-000050070000}"/>
    <cellStyle name="Heading 1 2 11" xfId="1836" xr:uid="{00000000-0005-0000-0000-000051070000}"/>
    <cellStyle name="Heading 1 2 12" xfId="1837" xr:uid="{00000000-0005-0000-0000-000052070000}"/>
    <cellStyle name="Heading 1 2 13" xfId="1838" xr:uid="{00000000-0005-0000-0000-000053070000}"/>
    <cellStyle name="Heading 1 2 14" xfId="1839" xr:uid="{00000000-0005-0000-0000-000054070000}"/>
    <cellStyle name="Heading 1 2 15" xfId="1840" xr:uid="{00000000-0005-0000-0000-000055070000}"/>
    <cellStyle name="Heading 1 2 16" xfId="1841" xr:uid="{00000000-0005-0000-0000-000056070000}"/>
    <cellStyle name="Heading 1 2 17" xfId="1842" xr:uid="{00000000-0005-0000-0000-000057070000}"/>
    <cellStyle name="Heading 1 2 18" xfId="1843" xr:uid="{00000000-0005-0000-0000-000058070000}"/>
    <cellStyle name="Heading 1 2 2" xfId="1844" xr:uid="{00000000-0005-0000-0000-000059070000}"/>
    <cellStyle name="Heading 1 2 2 2" xfId="1845" xr:uid="{00000000-0005-0000-0000-00005A070000}"/>
    <cellStyle name="Heading 1 2 3" xfId="1846" xr:uid="{00000000-0005-0000-0000-00005B070000}"/>
    <cellStyle name="Heading 1 2 4" xfId="1847" xr:uid="{00000000-0005-0000-0000-00005C070000}"/>
    <cellStyle name="Heading 1 2 5" xfId="1848" xr:uid="{00000000-0005-0000-0000-00005D070000}"/>
    <cellStyle name="Heading 1 2 6" xfId="1849" xr:uid="{00000000-0005-0000-0000-00005E070000}"/>
    <cellStyle name="Heading 1 2 7" xfId="1850" xr:uid="{00000000-0005-0000-0000-00005F070000}"/>
    <cellStyle name="Heading 1 2 8" xfId="1851" xr:uid="{00000000-0005-0000-0000-000060070000}"/>
    <cellStyle name="Heading 1 2 9" xfId="1852" xr:uid="{00000000-0005-0000-0000-000061070000}"/>
    <cellStyle name="Heading 1 3" xfId="1853" xr:uid="{00000000-0005-0000-0000-000062070000}"/>
    <cellStyle name="Heading 1 3 10" xfId="1854" xr:uid="{00000000-0005-0000-0000-000063070000}"/>
    <cellStyle name="Heading 1 3 11" xfId="1855" xr:uid="{00000000-0005-0000-0000-000064070000}"/>
    <cellStyle name="Heading 1 3 12" xfId="1856" xr:uid="{00000000-0005-0000-0000-000065070000}"/>
    <cellStyle name="Heading 1 3 13" xfId="1857" xr:uid="{00000000-0005-0000-0000-000066070000}"/>
    <cellStyle name="Heading 1 3 14" xfId="1858" xr:uid="{00000000-0005-0000-0000-000067070000}"/>
    <cellStyle name="Heading 1 3 15" xfId="1859" xr:uid="{00000000-0005-0000-0000-000068070000}"/>
    <cellStyle name="Heading 1 3 16" xfId="1860" xr:uid="{00000000-0005-0000-0000-000069070000}"/>
    <cellStyle name="Heading 1 3 17" xfId="1861" xr:uid="{00000000-0005-0000-0000-00006A070000}"/>
    <cellStyle name="Heading 1 3 2" xfId="1862" xr:uid="{00000000-0005-0000-0000-00006B070000}"/>
    <cellStyle name="Heading 1 3 3" xfId="1863" xr:uid="{00000000-0005-0000-0000-00006C070000}"/>
    <cellStyle name="Heading 1 3 4" xfId="1864" xr:uid="{00000000-0005-0000-0000-00006D070000}"/>
    <cellStyle name="Heading 1 3 5" xfId="1865" xr:uid="{00000000-0005-0000-0000-00006E070000}"/>
    <cellStyle name="Heading 1 3 6" xfId="1866" xr:uid="{00000000-0005-0000-0000-00006F070000}"/>
    <cellStyle name="Heading 1 3 7" xfId="1867" xr:uid="{00000000-0005-0000-0000-000070070000}"/>
    <cellStyle name="Heading 1 3 8" xfId="1868" xr:uid="{00000000-0005-0000-0000-000071070000}"/>
    <cellStyle name="Heading 1 3 9" xfId="1869" xr:uid="{00000000-0005-0000-0000-000072070000}"/>
    <cellStyle name="Heading 2 2" xfId="246" xr:uid="{00000000-0005-0000-0000-000073070000}"/>
    <cellStyle name="Heading 2 2 10" xfId="1870" xr:uid="{00000000-0005-0000-0000-000074070000}"/>
    <cellStyle name="Heading 2 2 11" xfId="1871" xr:uid="{00000000-0005-0000-0000-000075070000}"/>
    <cellStyle name="Heading 2 2 12" xfId="1872" xr:uid="{00000000-0005-0000-0000-000076070000}"/>
    <cellStyle name="Heading 2 2 13" xfId="1873" xr:uid="{00000000-0005-0000-0000-000077070000}"/>
    <cellStyle name="Heading 2 2 14" xfId="1874" xr:uid="{00000000-0005-0000-0000-000078070000}"/>
    <cellStyle name="Heading 2 2 15" xfId="1875" xr:uid="{00000000-0005-0000-0000-000079070000}"/>
    <cellStyle name="Heading 2 2 16" xfId="1876" xr:uid="{00000000-0005-0000-0000-00007A070000}"/>
    <cellStyle name="Heading 2 2 17" xfId="1877" xr:uid="{00000000-0005-0000-0000-00007B070000}"/>
    <cellStyle name="Heading 2 2 2" xfId="1878" xr:uid="{00000000-0005-0000-0000-00007C070000}"/>
    <cellStyle name="Heading 2 2 3" xfId="1879" xr:uid="{00000000-0005-0000-0000-00007D070000}"/>
    <cellStyle name="Heading 2 2 4" xfId="1880" xr:uid="{00000000-0005-0000-0000-00007E070000}"/>
    <cellStyle name="Heading 2 2 5" xfId="1881" xr:uid="{00000000-0005-0000-0000-00007F070000}"/>
    <cellStyle name="Heading 2 2 6" xfId="1882" xr:uid="{00000000-0005-0000-0000-000080070000}"/>
    <cellStyle name="Heading 2 2 7" xfId="1883" xr:uid="{00000000-0005-0000-0000-000081070000}"/>
    <cellStyle name="Heading 2 2 8" xfId="1884" xr:uid="{00000000-0005-0000-0000-000082070000}"/>
    <cellStyle name="Heading 2 2 9" xfId="1885" xr:uid="{00000000-0005-0000-0000-000083070000}"/>
    <cellStyle name="Heading 2 3 10" xfId="1886" xr:uid="{00000000-0005-0000-0000-000084070000}"/>
    <cellStyle name="Heading 2 3 11" xfId="1887" xr:uid="{00000000-0005-0000-0000-000085070000}"/>
    <cellStyle name="Heading 2 3 12" xfId="1888" xr:uid="{00000000-0005-0000-0000-000086070000}"/>
    <cellStyle name="Heading 2 3 13" xfId="1889" xr:uid="{00000000-0005-0000-0000-000087070000}"/>
    <cellStyle name="Heading 2 3 14" xfId="1890" xr:uid="{00000000-0005-0000-0000-000088070000}"/>
    <cellStyle name="Heading 2 3 15" xfId="1891" xr:uid="{00000000-0005-0000-0000-000089070000}"/>
    <cellStyle name="Heading 2 3 16" xfId="1892" xr:uid="{00000000-0005-0000-0000-00008A070000}"/>
    <cellStyle name="Heading 2 3 17" xfId="1893" xr:uid="{00000000-0005-0000-0000-00008B070000}"/>
    <cellStyle name="Heading 2 3 2" xfId="1894" xr:uid="{00000000-0005-0000-0000-00008C070000}"/>
    <cellStyle name="Heading 2 3 3" xfId="1895" xr:uid="{00000000-0005-0000-0000-00008D070000}"/>
    <cellStyle name="Heading 2 3 4" xfId="1896" xr:uid="{00000000-0005-0000-0000-00008E070000}"/>
    <cellStyle name="Heading 2 3 5" xfId="1897" xr:uid="{00000000-0005-0000-0000-00008F070000}"/>
    <cellStyle name="Heading 2 3 6" xfId="1898" xr:uid="{00000000-0005-0000-0000-000090070000}"/>
    <cellStyle name="Heading 2 3 7" xfId="1899" xr:uid="{00000000-0005-0000-0000-000091070000}"/>
    <cellStyle name="Heading 2 3 8" xfId="1900" xr:uid="{00000000-0005-0000-0000-000092070000}"/>
    <cellStyle name="Heading 2 3 9" xfId="1901" xr:uid="{00000000-0005-0000-0000-000093070000}"/>
    <cellStyle name="Heading 3 2" xfId="247" xr:uid="{00000000-0005-0000-0000-000094070000}"/>
    <cellStyle name="Heading 3 2 10" xfId="1902" xr:uid="{00000000-0005-0000-0000-000095070000}"/>
    <cellStyle name="Heading 3 2 11" xfId="1903" xr:uid="{00000000-0005-0000-0000-000096070000}"/>
    <cellStyle name="Heading 3 2 12" xfId="1904" xr:uid="{00000000-0005-0000-0000-000097070000}"/>
    <cellStyle name="Heading 3 2 13" xfId="1905" xr:uid="{00000000-0005-0000-0000-000098070000}"/>
    <cellStyle name="Heading 3 2 14" xfId="1906" xr:uid="{00000000-0005-0000-0000-000099070000}"/>
    <cellStyle name="Heading 3 2 15" xfId="1907" xr:uid="{00000000-0005-0000-0000-00009A070000}"/>
    <cellStyle name="Heading 3 2 16" xfId="1908" xr:uid="{00000000-0005-0000-0000-00009B070000}"/>
    <cellStyle name="Heading 3 2 17" xfId="1909" xr:uid="{00000000-0005-0000-0000-00009C070000}"/>
    <cellStyle name="Heading 3 2 2" xfId="1910" xr:uid="{00000000-0005-0000-0000-00009D070000}"/>
    <cellStyle name="Heading 3 2 3" xfId="1911" xr:uid="{00000000-0005-0000-0000-00009E070000}"/>
    <cellStyle name="Heading 3 2 4" xfId="1912" xr:uid="{00000000-0005-0000-0000-00009F070000}"/>
    <cellStyle name="Heading 3 2 5" xfId="1913" xr:uid="{00000000-0005-0000-0000-0000A0070000}"/>
    <cellStyle name="Heading 3 2 6" xfId="1914" xr:uid="{00000000-0005-0000-0000-0000A1070000}"/>
    <cellStyle name="Heading 3 2 7" xfId="1915" xr:uid="{00000000-0005-0000-0000-0000A2070000}"/>
    <cellStyle name="Heading 3 2 8" xfId="1916" xr:uid="{00000000-0005-0000-0000-0000A3070000}"/>
    <cellStyle name="Heading 3 2 9" xfId="1917" xr:uid="{00000000-0005-0000-0000-0000A4070000}"/>
    <cellStyle name="Heading 3 3 10" xfId="1918" xr:uid="{00000000-0005-0000-0000-0000A5070000}"/>
    <cellStyle name="Heading 3 3 11" xfId="1919" xr:uid="{00000000-0005-0000-0000-0000A6070000}"/>
    <cellStyle name="Heading 3 3 12" xfId="1920" xr:uid="{00000000-0005-0000-0000-0000A7070000}"/>
    <cellStyle name="Heading 3 3 13" xfId="1921" xr:uid="{00000000-0005-0000-0000-0000A8070000}"/>
    <cellStyle name="Heading 3 3 14" xfId="1922" xr:uid="{00000000-0005-0000-0000-0000A9070000}"/>
    <cellStyle name="Heading 3 3 15" xfId="1923" xr:uid="{00000000-0005-0000-0000-0000AA070000}"/>
    <cellStyle name="Heading 3 3 16" xfId="1924" xr:uid="{00000000-0005-0000-0000-0000AB070000}"/>
    <cellStyle name="Heading 3 3 17" xfId="1925" xr:uid="{00000000-0005-0000-0000-0000AC070000}"/>
    <cellStyle name="Heading 3 3 2" xfId="1926" xr:uid="{00000000-0005-0000-0000-0000AD070000}"/>
    <cellStyle name="Heading 3 3 3" xfId="1927" xr:uid="{00000000-0005-0000-0000-0000AE070000}"/>
    <cellStyle name="Heading 3 3 4" xfId="1928" xr:uid="{00000000-0005-0000-0000-0000AF070000}"/>
    <cellStyle name="Heading 3 3 5" xfId="1929" xr:uid="{00000000-0005-0000-0000-0000B0070000}"/>
    <cellStyle name="Heading 3 3 6" xfId="1930" xr:uid="{00000000-0005-0000-0000-0000B1070000}"/>
    <cellStyle name="Heading 3 3 7" xfId="1931" xr:uid="{00000000-0005-0000-0000-0000B2070000}"/>
    <cellStyle name="Heading 3 3 8" xfId="1932" xr:uid="{00000000-0005-0000-0000-0000B3070000}"/>
    <cellStyle name="Heading 3 3 9" xfId="1933" xr:uid="{00000000-0005-0000-0000-0000B4070000}"/>
    <cellStyle name="Heading 4 2" xfId="248" xr:uid="{00000000-0005-0000-0000-0000B5070000}"/>
    <cellStyle name="Heading 4 2 10" xfId="1934" xr:uid="{00000000-0005-0000-0000-0000B6070000}"/>
    <cellStyle name="Heading 4 2 11" xfId="1935" xr:uid="{00000000-0005-0000-0000-0000B7070000}"/>
    <cellStyle name="Heading 4 2 12" xfId="1936" xr:uid="{00000000-0005-0000-0000-0000B8070000}"/>
    <cellStyle name="Heading 4 2 13" xfId="1937" xr:uid="{00000000-0005-0000-0000-0000B9070000}"/>
    <cellStyle name="Heading 4 2 14" xfId="1938" xr:uid="{00000000-0005-0000-0000-0000BA070000}"/>
    <cellStyle name="Heading 4 2 15" xfId="1939" xr:uid="{00000000-0005-0000-0000-0000BB070000}"/>
    <cellStyle name="Heading 4 2 16" xfId="1940" xr:uid="{00000000-0005-0000-0000-0000BC070000}"/>
    <cellStyle name="Heading 4 2 17" xfId="1941" xr:uid="{00000000-0005-0000-0000-0000BD070000}"/>
    <cellStyle name="Heading 4 2 2" xfId="1942" xr:uid="{00000000-0005-0000-0000-0000BE070000}"/>
    <cellStyle name="Heading 4 2 3" xfId="1943" xr:uid="{00000000-0005-0000-0000-0000BF070000}"/>
    <cellStyle name="Heading 4 2 4" xfId="1944" xr:uid="{00000000-0005-0000-0000-0000C0070000}"/>
    <cellStyle name="Heading 4 2 5" xfId="1945" xr:uid="{00000000-0005-0000-0000-0000C1070000}"/>
    <cellStyle name="Heading 4 2 6" xfId="1946" xr:uid="{00000000-0005-0000-0000-0000C2070000}"/>
    <cellStyle name="Heading 4 2 7" xfId="1947" xr:uid="{00000000-0005-0000-0000-0000C3070000}"/>
    <cellStyle name="Heading 4 2 8" xfId="1948" xr:uid="{00000000-0005-0000-0000-0000C4070000}"/>
    <cellStyle name="Heading 4 2 9" xfId="1949" xr:uid="{00000000-0005-0000-0000-0000C5070000}"/>
    <cellStyle name="Heading 4 3 10" xfId="1950" xr:uid="{00000000-0005-0000-0000-0000C6070000}"/>
    <cellStyle name="Heading 4 3 11" xfId="1951" xr:uid="{00000000-0005-0000-0000-0000C7070000}"/>
    <cellStyle name="Heading 4 3 12" xfId="1952" xr:uid="{00000000-0005-0000-0000-0000C8070000}"/>
    <cellStyle name="Heading 4 3 13" xfId="1953" xr:uid="{00000000-0005-0000-0000-0000C9070000}"/>
    <cellStyle name="Heading 4 3 14" xfId="1954" xr:uid="{00000000-0005-0000-0000-0000CA070000}"/>
    <cellStyle name="Heading 4 3 15" xfId="1955" xr:uid="{00000000-0005-0000-0000-0000CB070000}"/>
    <cellStyle name="Heading 4 3 16" xfId="1956" xr:uid="{00000000-0005-0000-0000-0000CC070000}"/>
    <cellStyle name="Heading 4 3 17" xfId="1957" xr:uid="{00000000-0005-0000-0000-0000CD070000}"/>
    <cellStyle name="Heading 4 3 2" xfId="1958" xr:uid="{00000000-0005-0000-0000-0000CE070000}"/>
    <cellStyle name="Heading 4 3 3" xfId="1959" xr:uid="{00000000-0005-0000-0000-0000CF070000}"/>
    <cellStyle name="Heading 4 3 4" xfId="1960" xr:uid="{00000000-0005-0000-0000-0000D0070000}"/>
    <cellStyle name="Heading 4 3 5" xfId="1961" xr:uid="{00000000-0005-0000-0000-0000D1070000}"/>
    <cellStyle name="Heading 4 3 6" xfId="1962" xr:uid="{00000000-0005-0000-0000-0000D2070000}"/>
    <cellStyle name="Heading 4 3 7" xfId="1963" xr:uid="{00000000-0005-0000-0000-0000D3070000}"/>
    <cellStyle name="Heading 4 3 8" xfId="1964" xr:uid="{00000000-0005-0000-0000-0000D4070000}"/>
    <cellStyle name="Heading 4 3 9" xfId="1965" xr:uid="{00000000-0005-0000-0000-0000D5070000}"/>
    <cellStyle name="Hyperlink 2" xfId="15" xr:uid="{FA19143E-CA60-40C5-BCB6-B816AA0F743C}"/>
    <cellStyle name="Hyperlink 2 2" xfId="2407" xr:uid="{00000000-0005-0000-0000-0000D8070000}"/>
    <cellStyle name="Hyperlink 3" xfId="260" xr:uid="{00000000-0005-0000-0000-0000D9070000}"/>
    <cellStyle name="Hyperlink 4" xfId="3269" xr:uid="{00000000-0005-0000-0000-000089090000}"/>
    <cellStyle name="Input 2" xfId="43" xr:uid="{00000000-0005-0000-0000-0000DA070000}"/>
    <cellStyle name="Input 2 10" xfId="1966" xr:uid="{00000000-0005-0000-0000-0000DB070000}"/>
    <cellStyle name="Input 2 11" xfId="1967" xr:uid="{00000000-0005-0000-0000-0000DC070000}"/>
    <cellStyle name="Input 2 12" xfId="1968" xr:uid="{00000000-0005-0000-0000-0000DD070000}"/>
    <cellStyle name="Input 2 13" xfId="1969" xr:uid="{00000000-0005-0000-0000-0000DE070000}"/>
    <cellStyle name="Input 2 14" xfId="1970" xr:uid="{00000000-0005-0000-0000-0000DF070000}"/>
    <cellStyle name="Input 2 15" xfId="1971" xr:uid="{00000000-0005-0000-0000-0000E0070000}"/>
    <cellStyle name="Input 2 16" xfId="1972" xr:uid="{00000000-0005-0000-0000-0000E1070000}"/>
    <cellStyle name="Input 2 17" xfId="1973" xr:uid="{00000000-0005-0000-0000-0000E2070000}"/>
    <cellStyle name="Input 2 18" xfId="1974" xr:uid="{00000000-0005-0000-0000-0000E3070000}"/>
    <cellStyle name="Input 2 19" xfId="1975" xr:uid="{00000000-0005-0000-0000-0000E4070000}"/>
    <cellStyle name="Input 2 2" xfId="1976" xr:uid="{00000000-0005-0000-0000-0000E5070000}"/>
    <cellStyle name="Input 2 20" xfId="2620" xr:uid="{00000000-0005-0000-0000-0000E6070000}"/>
    <cellStyle name="Input 2 3" xfId="1977" xr:uid="{00000000-0005-0000-0000-0000E7070000}"/>
    <cellStyle name="Input 2 4" xfId="1978" xr:uid="{00000000-0005-0000-0000-0000E8070000}"/>
    <cellStyle name="Input 2 5" xfId="1979" xr:uid="{00000000-0005-0000-0000-0000E9070000}"/>
    <cellStyle name="Input 2 6" xfId="1980" xr:uid="{00000000-0005-0000-0000-0000EA070000}"/>
    <cellStyle name="Input 2 7" xfId="1981" xr:uid="{00000000-0005-0000-0000-0000EB070000}"/>
    <cellStyle name="Input 2 8" xfId="1982" xr:uid="{00000000-0005-0000-0000-0000EC070000}"/>
    <cellStyle name="Input 2 9" xfId="1983" xr:uid="{00000000-0005-0000-0000-0000ED070000}"/>
    <cellStyle name="Input 3" xfId="256" xr:uid="{00000000-0005-0000-0000-0000EE070000}"/>
    <cellStyle name="Input 3 10" xfId="1984" xr:uid="{00000000-0005-0000-0000-0000EF070000}"/>
    <cellStyle name="Input 3 11" xfId="1985" xr:uid="{00000000-0005-0000-0000-0000F0070000}"/>
    <cellStyle name="Input 3 12" xfId="1986" xr:uid="{00000000-0005-0000-0000-0000F1070000}"/>
    <cellStyle name="Input 3 13" xfId="1987" xr:uid="{00000000-0005-0000-0000-0000F2070000}"/>
    <cellStyle name="Input 3 14" xfId="1988" xr:uid="{00000000-0005-0000-0000-0000F3070000}"/>
    <cellStyle name="Input 3 15" xfId="1989" xr:uid="{00000000-0005-0000-0000-0000F4070000}"/>
    <cellStyle name="Input 3 16" xfId="1990" xr:uid="{00000000-0005-0000-0000-0000F5070000}"/>
    <cellStyle name="Input 3 17" xfId="1991" xr:uid="{00000000-0005-0000-0000-0000F6070000}"/>
    <cellStyle name="Input 3 2" xfId="1992" xr:uid="{00000000-0005-0000-0000-0000F7070000}"/>
    <cellStyle name="Input 3 3" xfId="1993" xr:uid="{00000000-0005-0000-0000-0000F8070000}"/>
    <cellStyle name="Input 3 4" xfId="1994" xr:uid="{00000000-0005-0000-0000-0000F9070000}"/>
    <cellStyle name="Input 3 5" xfId="1995" xr:uid="{00000000-0005-0000-0000-0000FA070000}"/>
    <cellStyle name="Input 3 6" xfId="1996" xr:uid="{00000000-0005-0000-0000-0000FB070000}"/>
    <cellStyle name="Input 3 7" xfId="1997" xr:uid="{00000000-0005-0000-0000-0000FC070000}"/>
    <cellStyle name="Input 3 8" xfId="1998" xr:uid="{00000000-0005-0000-0000-0000FD070000}"/>
    <cellStyle name="Input 3 9" xfId="1999" xr:uid="{00000000-0005-0000-0000-0000FE070000}"/>
    <cellStyle name="Input 4" xfId="283" xr:uid="{00000000-0005-0000-0000-0000FF070000}"/>
    <cellStyle name="Linked Cell 2" xfId="251" xr:uid="{00000000-0005-0000-0000-000000080000}"/>
    <cellStyle name="Linked Cell 2 10" xfId="2000" xr:uid="{00000000-0005-0000-0000-000001080000}"/>
    <cellStyle name="Linked Cell 2 11" xfId="2001" xr:uid="{00000000-0005-0000-0000-000002080000}"/>
    <cellStyle name="Linked Cell 2 12" xfId="2002" xr:uid="{00000000-0005-0000-0000-000003080000}"/>
    <cellStyle name="Linked Cell 2 13" xfId="2003" xr:uid="{00000000-0005-0000-0000-000004080000}"/>
    <cellStyle name="Linked Cell 2 14" xfId="2004" xr:uid="{00000000-0005-0000-0000-000005080000}"/>
    <cellStyle name="Linked Cell 2 15" xfId="2005" xr:uid="{00000000-0005-0000-0000-000006080000}"/>
    <cellStyle name="Linked Cell 2 16" xfId="2006" xr:uid="{00000000-0005-0000-0000-000007080000}"/>
    <cellStyle name="Linked Cell 2 17" xfId="2007" xr:uid="{00000000-0005-0000-0000-000008080000}"/>
    <cellStyle name="Linked Cell 2 2" xfId="2008" xr:uid="{00000000-0005-0000-0000-000009080000}"/>
    <cellStyle name="Linked Cell 2 3" xfId="2009" xr:uid="{00000000-0005-0000-0000-00000A080000}"/>
    <cellStyle name="Linked Cell 2 4" xfId="2010" xr:uid="{00000000-0005-0000-0000-00000B080000}"/>
    <cellStyle name="Linked Cell 2 5" xfId="2011" xr:uid="{00000000-0005-0000-0000-00000C080000}"/>
    <cellStyle name="Linked Cell 2 6" xfId="2012" xr:uid="{00000000-0005-0000-0000-00000D080000}"/>
    <cellStyle name="Linked Cell 2 7" xfId="2013" xr:uid="{00000000-0005-0000-0000-00000E080000}"/>
    <cellStyle name="Linked Cell 2 8" xfId="2014" xr:uid="{00000000-0005-0000-0000-00000F080000}"/>
    <cellStyle name="Linked Cell 2 9" xfId="2015" xr:uid="{00000000-0005-0000-0000-000010080000}"/>
    <cellStyle name="Linked Cell 3 10" xfId="2016" xr:uid="{00000000-0005-0000-0000-000011080000}"/>
    <cellStyle name="Linked Cell 3 11" xfId="2017" xr:uid="{00000000-0005-0000-0000-000012080000}"/>
    <cellStyle name="Linked Cell 3 12" xfId="2018" xr:uid="{00000000-0005-0000-0000-000013080000}"/>
    <cellStyle name="Linked Cell 3 13" xfId="2019" xr:uid="{00000000-0005-0000-0000-000014080000}"/>
    <cellStyle name="Linked Cell 3 14" xfId="2020" xr:uid="{00000000-0005-0000-0000-000015080000}"/>
    <cellStyle name="Linked Cell 3 15" xfId="2021" xr:uid="{00000000-0005-0000-0000-000016080000}"/>
    <cellStyle name="Linked Cell 3 16" xfId="2022" xr:uid="{00000000-0005-0000-0000-000017080000}"/>
    <cellStyle name="Linked Cell 3 17" xfId="2023" xr:uid="{00000000-0005-0000-0000-000018080000}"/>
    <cellStyle name="Linked Cell 3 2" xfId="2024" xr:uid="{00000000-0005-0000-0000-000019080000}"/>
    <cellStyle name="Linked Cell 3 3" xfId="2025" xr:uid="{00000000-0005-0000-0000-00001A080000}"/>
    <cellStyle name="Linked Cell 3 4" xfId="2026" xr:uid="{00000000-0005-0000-0000-00001B080000}"/>
    <cellStyle name="Linked Cell 3 5" xfId="2027" xr:uid="{00000000-0005-0000-0000-00001C080000}"/>
    <cellStyle name="Linked Cell 3 6" xfId="2028" xr:uid="{00000000-0005-0000-0000-00001D080000}"/>
    <cellStyle name="Linked Cell 3 7" xfId="2029" xr:uid="{00000000-0005-0000-0000-00001E080000}"/>
    <cellStyle name="Linked Cell 3 8" xfId="2030" xr:uid="{00000000-0005-0000-0000-00001F080000}"/>
    <cellStyle name="Linked Cell 3 9" xfId="2031" xr:uid="{00000000-0005-0000-0000-000020080000}"/>
    <cellStyle name="Migliaia 2" xfId="180" xr:uid="{00000000-0005-0000-0000-000021080000}"/>
    <cellStyle name="Migliaia 2 2" xfId="2032" xr:uid="{00000000-0005-0000-0000-000022080000}"/>
    <cellStyle name="Migliaia 2 3" xfId="2621" xr:uid="{00000000-0005-0000-0000-000023080000}"/>
    <cellStyle name="Migliaia 2 4" xfId="3270" xr:uid="{00000000-0005-0000-0000-0000D4090000}"/>
    <cellStyle name="Migliaia 2 4 2" xfId="3271" xr:uid="{00000000-0005-0000-0000-0000D5090000}"/>
    <cellStyle name="Migliaia 2 5" xfId="3272" xr:uid="{00000000-0005-0000-0000-0000D6090000}"/>
    <cellStyle name="Migliaia 3" xfId="181" xr:uid="{00000000-0005-0000-0000-000024080000}"/>
    <cellStyle name="Migliaia 3 2" xfId="2033" xr:uid="{00000000-0005-0000-0000-000025080000}"/>
    <cellStyle name="Migliaia 3 3" xfId="2622" xr:uid="{00000000-0005-0000-0000-000026080000}"/>
    <cellStyle name="Migliaia 3 4" xfId="3273" xr:uid="{00000000-0005-0000-0000-0000DA090000}"/>
    <cellStyle name="Migliaia 3 4 2" xfId="3274" xr:uid="{00000000-0005-0000-0000-0000DB090000}"/>
    <cellStyle name="Migliaia 3 5" xfId="3275" xr:uid="{00000000-0005-0000-0000-0000DC090000}"/>
    <cellStyle name="Neutral 2" xfId="249" xr:uid="{00000000-0005-0000-0000-000027080000}"/>
    <cellStyle name="Neutral 2 10" xfId="2034" xr:uid="{00000000-0005-0000-0000-000028080000}"/>
    <cellStyle name="Neutral 2 11" xfId="2035" xr:uid="{00000000-0005-0000-0000-000029080000}"/>
    <cellStyle name="Neutral 2 12" xfId="2036" xr:uid="{00000000-0005-0000-0000-00002A080000}"/>
    <cellStyle name="Neutral 2 13" xfId="2037" xr:uid="{00000000-0005-0000-0000-00002B080000}"/>
    <cellStyle name="Neutral 2 14" xfId="2038" xr:uid="{00000000-0005-0000-0000-00002C080000}"/>
    <cellStyle name="Neutral 2 15" xfId="2039" xr:uid="{00000000-0005-0000-0000-00002D080000}"/>
    <cellStyle name="Neutral 2 16" xfId="2040" xr:uid="{00000000-0005-0000-0000-00002E080000}"/>
    <cellStyle name="Neutral 2 17" xfId="2041" xr:uid="{00000000-0005-0000-0000-00002F080000}"/>
    <cellStyle name="Neutral 2 2" xfId="2042" xr:uid="{00000000-0005-0000-0000-000030080000}"/>
    <cellStyle name="Neutral 2 3" xfId="2043" xr:uid="{00000000-0005-0000-0000-000031080000}"/>
    <cellStyle name="Neutral 2 4" xfId="2044" xr:uid="{00000000-0005-0000-0000-000032080000}"/>
    <cellStyle name="Neutral 2 5" xfId="2045" xr:uid="{00000000-0005-0000-0000-000033080000}"/>
    <cellStyle name="Neutral 2 6" xfId="2046" xr:uid="{00000000-0005-0000-0000-000034080000}"/>
    <cellStyle name="Neutral 2 7" xfId="2047" xr:uid="{00000000-0005-0000-0000-000035080000}"/>
    <cellStyle name="Neutral 2 8" xfId="2048" xr:uid="{00000000-0005-0000-0000-000036080000}"/>
    <cellStyle name="Neutral 2 9" xfId="2049" xr:uid="{00000000-0005-0000-0000-000037080000}"/>
    <cellStyle name="Neutral 3 10" xfId="2050" xr:uid="{00000000-0005-0000-0000-000038080000}"/>
    <cellStyle name="Neutral 3 11" xfId="2051" xr:uid="{00000000-0005-0000-0000-000039080000}"/>
    <cellStyle name="Neutral 3 12" xfId="2052" xr:uid="{00000000-0005-0000-0000-00003A080000}"/>
    <cellStyle name="Neutral 3 13" xfId="2053" xr:uid="{00000000-0005-0000-0000-00003B080000}"/>
    <cellStyle name="Neutral 3 14" xfId="2054" xr:uid="{00000000-0005-0000-0000-00003C080000}"/>
    <cellStyle name="Neutral 3 15" xfId="2055" xr:uid="{00000000-0005-0000-0000-00003D080000}"/>
    <cellStyle name="Neutral 3 16" xfId="2056" xr:uid="{00000000-0005-0000-0000-00003E080000}"/>
    <cellStyle name="Neutral 3 17" xfId="2057" xr:uid="{00000000-0005-0000-0000-00003F080000}"/>
    <cellStyle name="Neutral 3 2" xfId="2058" xr:uid="{00000000-0005-0000-0000-000040080000}"/>
    <cellStyle name="Neutral 3 3" xfId="2059" xr:uid="{00000000-0005-0000-0000-000041080000}"/>
    <cellStyle name="Neutral 3 4" xfId="2060" xr:uid="{00000000-0005-0000-0000-000042080000}"/>
    <cellStyle name="Neutral 3 5" xfId="2061" xr:uid="{00000000-0005-0000-0000-000043080000}"/>
    <cellStyle name="Neutral 3 6" xfId="2062" xr:uid="{00000000-0005-0000-0000-000044080000}"/>
    <cellStyle name="Neutral 3 7" xfId="2063" xr:uid="{00000000-0005-0000-0000-000045080000}"/>
    <cellStyle name="Neutral 3 8" xfId="2064" xr:uid="{00000000-0005-0000-0000-000046080000}"/>
    <cellStyle name="Neutral 3 9" xfId="2065" xr:uid="{00000000-0005-0000-0000-000047080000}"/>
    <cellStyle name="Neutrale" xfId="182" xr:uid="{00000000-0005-0000-0000-000048080000}"/>
    <cellStyle name="Neutrale 2" xfId="312" xr:uid="{00000000-0005-0000-0000-000049080000}"/>
    <cellStyle name="Neutrale 2 2" xfId="2066" xr:uid="{00000000-0005-0000-0000-00004A080000}"/>
    <cellStyle name="Neutrale 2 2 2" xfId="2623" xr:uid="{00000000-0005-0000-0000-00004B080000}"/>
    <cellStyle name="Neutrale 3" xfId="2067" xr:uid="{00000000-0005-0000-0000-00004C080000}"/>
    <cellStyle name="Neutrale 4" xfId="2624" xr:uid="{00000000-0005-0000-0000-00004D080000}"/>
    <cellStyle name="Normal" xfId="0" builtinId="0"/>
    <cellStyle name="Normal 10" xfId="343" xr:uid="{00000000-0005-0000-0000-00004F080000}"/>
    <cellStyle name="Normal 10 2" xfId="26" xr:uid="{166DC57F-9252-4296-9FAE-45BCF0DF7082}"/>
    <cellStyle name="Normal 10 3" xfId="11" xr:uid="{FC56B2A4-B036-4FA8-9CBD-7D5575AF09A8}"/>
    <cellStyle name="Normal 10 4" xfId="2068" xr:uid="{00000000-0005-0000-0000-000052080000}"/>
    <cellStyle name="Normal 11" xfId="344" xr:uid="{00000000-0005-0000-0000-000053080000}"/>
    <cellStyle name="Normal 11 2" xfId="35" xr:uid="{73D735DF-2ABA-4FA5-922C-8F02B2506AB2}"/>
    <cellStyle name="Normal 11 2 2" xfId="2069" xr:uid="{00000000-0005-0000-0000-000055080000}"/>
    <cellStyle name="Normal 11 3" xfId="10" xr:uid="{FBD2C7BB-999A-4A5F-BB95-92E5A6915A28}"/>
    <cellStyle name="Normal 11 3 2" xfId="3475" xr:uid="{00000000-0005-0000-0000-0000B90B0000}"/>
    <cellStyle name="Normal 12" xfId="31" xr:uid="{0972348A-4D61-44F7-BB03-15C0C00E079B}"/>
    <cellStyle name="Normal 13" xfId="6" xr:uid="{96F60BD4-0DB9-419A-AADD-80D6187E9788}"/>
    <cellStyle name="Normal 13 2" xfId="2070" xr:uid="{00000000-0005-0000-0000-000058080000}"/>
    <cellStyle name="Normal 14" xfId="2071" xr:uid="{00000000-0005-0000-0000-000059080000}"/>
    <cellStyle name="Normal 14 2" xfId="2408" xr:uid="{00000000-0005-0000-0000-00005A080000}"/>
    <cellStyle name="Normal 14 2 2" xfId="2625" xr:uid="{00000000-0005-0000-0000-00005B080000}"/>
    <cellStyle name="Normal 14 2 2 2" xfId="2828" xr:uid="{00000000-0005-0000-0000-00005B080000}"/>
    <cellStyle name="Normal 14 2 3" xfId="12" xr:uid="{62E18277-6769-4AC3-A1CB-D6C05EDDF863}"/>
    <cellStyle name="Normal 14 3" xfId="2790" xr:uid="{00000000-0005-0000-0000-000059080000}"/>
    <cellStyle name="Normal 14 4" xfId="3474" xr:uid="{00000000-0005-0000-0000-0000BB0B0000}"/>
    <cellStyle name="Normal 15" xfId="261" xr:uid="{00000000-0005-0000-0000-00005C080000}"/>
    <cellStyle name="Normal 15 2" xfId="2072" xr:uid="{00000000-0005-0000-0000-00005D080000}"/>
    <cellStyle name="Normal 15 2 2" xfId="2409" xr:uid="{00000000-0005-0000-0000-00005E080000}"/>
    <cellStyle name="Normal 15 2 2 2" xfId="2813" xr:uid="{00000000-0005-0000-0000-00005E080000}"/>
    <cellStyle name="Normal 15 2 3" xfId="3473" xr:uid="{00000000-0005-0000-0000-0000BC0B0000}"/>
    <cellStyle name="Normal 15 3" xfId="2073" xr:uid="{00000000-0005-0000-0000-00005F080000}"/>
    <cellStyle name="Normal 15 4" xfId="3472" xr:uid="{00000000-0005-0000-0000-0000BD0B0000}"/>
    <cellStyle name="Normal 16" xfId="2074" xr:uid="{00000000-0005-0000-0000-000060080000}"/>
    <cellStyle name="Normal 16 2" xfId="2411" xr:uid="{00000000-0005-0000-0000-000061080000}"/>
    <cellStyle name="Normal 16 3" xfId="2410" xr:uid="{00000000-0005-0000-0000-000062080000}"/>
    <cellStyle name="Normal 17" xfId="2075" xr:uid="{00000000-0005-0000-0000-000063080000}"/>
    <cellStyle name="Normal 17 2" xfId="2626" xr:uid="{00000000-0005-0000-0000-000064080000}"/>
    <cellStyle name="Normal 17 2 2" xfId="2829" xr:uid="{00000000-0005-0000-0000-000064080000}"/>
    <cellStyle name="Normal 17 3" xfId="2791" xr:uid="{00000000-0005-0000-0000-000063080000}"/>
    <cellStyle name="Normal 18" xfId="16" xr:uid="{42E33A3C-DB4E-41D5-A881-2C2F09736848}"/>
    <cellStyle name="Normal 18 2" xfId="24" xr:uid="{62D6CC94-451A-482C-8C73-46A0286A2D4A}"/>
    <cellStyle name="Normal 19" xfId="8" xr:uid="{EE1E0A11-A5A7-4D54-8654-D521654C66B1}"/>
    <cellStyle name="Normal 19 2" xfId="2830" xr:uid="{00000000-0005-0000-0000-000067080000}"/>
    <cellStyle name="Normal 2" xfId="5" xr:uid="{E2FABBCF-59F5-40DD-B858-4E616ACF9C96}"/>
    <cellStyle name="Normal 2 10" xfId="1" xr:uid="{E8A4EDE0-2A77-4732-84A6-D320BAF5FE4F}"/>
    <cellStyle name="Normal 2 10 2" xfId="368" xr:uid="{00000000-0005-0000-0000-00006A080000}"/>
    <cellStyle name="Normal 2 10 2 2" xfId="2788" xr:uid="{00000000-0005-0000-0000-0000E4000000}"/>
    <cellStyle name="Normal 2 10 2 3" xfId="3276" xr:uid="{00000000-0005-0000-0000-00002A0A0000}"/>
    <cellStyle name="Normal 2 10 3" xfId="2764" xr:uid="{00000000-0005-0000-0000-0000E3000000}"/>
    <cellStyle name="Normal 2 10 4" xfId="3277" xr:uid="{00000000-0005-0000-0000-00002C0A0000}"/>
    <cellStyle name="Normal 2 10 5" xfId="3471" xr:uid="{00000000-0005-0000-0000-0000BE0B0000}"/>
    <cellStyle name="Normal 2 11" xfId="332" xr:uid="{00000000-0005-0000-0000-00006B080000}"/>
    <cellStyle name="Normal 2 11 2" xfId="2076" xr:uid="{00000000-0005-0000-0000-00006C080000}"/>
    <cellStyle name="Normal 2 11 3" xfId="2077" xr:uid="{00000000-0005-0000-0000-00006D080000}"/>
    <cellStyle name="Normal 2 11 3 2" xfId="2627" xr:uid="{00000000-0005-0000-0000-00006E080000}"/>
    <cellStyle name="Normal 2 11 3 2 2" xfId="2831" xr:uid="{00000000-0005-0000-0000-00006E080000}"/>
    <cellStyle name="Normal 2 11 3 3" xfId="2792" xr:uid="{00000000-0005-0000-0000-00006D080000}"/>
    <cellStyle name="Normal 2 11 3 4" xfId="3470" xr:uid="{00000000-0005-0000-0000-0000BF0B0000}"/>
    <cellStyle name="Normal 2 12" xfId="2078" xr:uid="{00000000-0005-0000-0000-00006F080000}"/>
    <cellStyle name="Normal 2 12 2" xfId="2628" xr:uid="{00000000-0005-0000-0000-000070080000}"/>
    <cellStyle name="Normal 2 12 2 2" xfId="2832" xr:uid="{00000000-0005-0000-0000-000070080000}"/>
    <cellStyle name="Normal 2 12 3" xfId="2793" xr:uid="{00000000-0005-0000-0000-00006F080000}"/>
    <cellStyle name="Normal 2 12 4" xfId="3469" xr:uid="{00000000-0005-0000-0000-0000C00B0000}"/>
    <cellStyle name="Normal 2 13" xfId="2" xr:uid="{6FB5DB3E-6D6F-414C-810E-A6C6DF4A6169}"/>
    <cellStyle name="Normal 2 13 2" xfId="32" xr:uid="{25B5C34F-140D-44E4-A6C9-E90023DAA977}"/>
    <cellStyle name="Normal 2 13 3" xfId="3278" xr:uid="{00000000-0005-0000-0000-0000390A0000}"/>
    <cellStyle name="Normal 2 13 8" xfId="19" xr:uid="{ADC3DD59-ECC5-4F0E-AAED-1638272EE98E}"/>
    <cellStyle name="Normal 2 14" xfId="7" xr:uid="{C7B741C4-6B53-412E-BEF9-2A6C8F9F6120}"/>
    <cellStyle name="Normal 2 15" xfId="2079" xr:uid="{00000000-0005-0000-0000-000073080000}"/>
    <cellStyle name="Normal 2 16" xfId="2629" xr:uid="{00000000-0005-0000-0000-000074080000}"/>
    <cellStyle name="Normal 2 18" xfId="2080" xr:uid="{00000000-0005-0000-0000-000075080000}"/>
    <cellStyle name="Normal 2 2" xfId="39" xr:uid="{00000000-0005-0000-0000-000076080000}"/>
    <cellStyle name="Normal 2 2 10" xfId="25" xr:uid="{8FB58271-E83B-446B-8345-AFDF328CDC26}"/>
    <cellStyle name="Normal 2 2 11" xfId="2081" xr:uid="{00000000-0005-0000-0000-000078080000}"/>
    <cellStyle name="Normal 2 2 12" xfId="2082" xr:uid="{00000000-0005-0000-0000-000079080000}"/>
    <cellStyle name="Normal 2 2 12 2" xfId="2083" xr:uid="{00000000-0005-0000-0000-00007A080000}"/>
    <cellStyle name="Normal 2 2 12 3" xfId="2084" xr:uid="{00000000-0005-0000-0000-00007B080000}"/>
    <cellStyle name="Normal 2 2 13" xfId="2085" xr:uid="{00000000-0005-0000-0000-00007C080000}"/>
    <cellStyle name="Normal 2 2 13 2" xfId="3279" xr:uid="{00000000-0005-0000-0000-0000460A0000}"/>
    <cellStyle name="Normal 2 2 14" xfId="2086" xr:uid="{00000000-0005-0000-0000-00007D080000}"/>
    <cellStyle name="Normal 2 2 14 2" xfId="2412" xr:uid="{00000000-0005-0000-0000-00007E080000}"/>
    <cellStyle name="Normal 2 2 2" xfId="4" xr:uid="{557C3841-4FF4-4EE1-9C99-67C9DDF69A59}"/>
    <cellStyle name="Normal 2 2 2 2" xfId="40" xr:uid="{00000000-0005-0000-0000-000080080000}"/>
    <cellStyle name="Normal 2 2 2 2 2" xfId="2088" xr:uid="{00000000-0005-0000-0000-000081080000}"/>
    <cellStyle name="Normal 2 2 2 2 2 2" xfId="2089" xr:uid="{00000000-0005-0000-0000-000082080000}"/>
    <cellStyle name="Normal 2 2 2 2 3" xfId="2087" xr:uid="{00000000-0005-0000-0000-000083080000}"/>
    <cellStyle name="Normal 2 2 2 3" xfId="270" xr:uid="{00000000-0005-0000-0000-000084080000}"/>
    <cellStyle name="Normal 2 2 2 3 2" xfId="2090" xr:uid="{00000000-0005-0000-0000-000085080000}"/>
    <cellStyle name="Normal 2 2 2 3 2 2" xfId="2413" xr:uid="{00000000-0005-0000-0000-000086080000}"/>
    <cellStyle name="Normal 2 2 2 3 2 3" xfId="2630" xr:uid="{00000000-0005-0000-0000-000087080000}"/>
    <cellStyle name="Normal 2 2 2 3 3" xfId="2414" xr:uid="{00000000-0005-0000-0000-000088080000}"/>
    <cellStyle name="Normal 2 2 2 3 4" xfId="3468" xr:uid="{00000000-0005-0000-0000-0000C20B0000}"/>
    <cellStyle name="Normal 2 2 2 3 5" xfId="3467" xr:uid="{00000000-0005-0000-0000-0000C30B0000}"/>
    <cellStyle name="Normal 2 2 2 4" xfId="269" xr:uid="{00000000-0005-0000-0000-000089080000}"/>
    <cellStyle name="Normal 2 2 2 4 2" xfId="2091" xr:uid="{00000000-0005-0000-0000-00008A080000}"/>
    <cellStyle name="Normal 2 2 2 4 2 2" xfId="2631" xr:uid="{00000000-0005-0000-0000-00008B080000}"/>
    <cellStyle name="Normal 2 2 2 4 3" xfId="3466" xr:uid="{00000000-0005-0000-0000-0000C40B0000}"/>
    <cellStyle name="Normal 2 2 2 5" xfId="342" xr:uid="{00000000-0005-0000-0000-00008C080000}"/>
    <cellStyle name="Normal 2 2 2 6" xfId="38" xr:uid="{00000000-0005-0000-0000-00007F080000}"/>
    <cellStyle name="Normal 2 2 3" xfId="271" xr:uid="{00000000-0005-0000-0000-00008D080000}"/>
    <cellStyle name="Normal 2 2 3 2" xfId="2734" xr:uid="{00000000-0005-0000-0000-00008E080000}"/>
    <cellStyle name="Normal 2 2 3 3" xfId="3280" xr:uid="{00000000-0005-0000-0000-00005A0A0000}"/>
    <cellStyle name="Normal 2 2 4" xfId="272" xr:uid="{00000000-0005-0000-0000-00008F080000}"/>
    <cellStyle name="Normal 2 2 4 2" xfId="3281" xr:uid="{00000000-0005-0000-0000-00005C0A0000}"/>
    <cellStyle name="Normal 2 2 5" xfId="273" xr:uid="{00000000-0005-0000-0000-000090080000}"/>
    <cellStyle name="Normal 2 2 5 2" xfId="2093" xr:uid="{00000000-0005-0000-0000-000091080000}"/>
    <cellStyle name="Normal 2 2 5 3" xfId="2094" xr:uid="{00000000-0005-0000-0000-000092080000}"/>
    <cellStyle name="Normal 2 2 5 3 2" xfId="2632" xr:uid="{00000000-0005-0000-0000-000093080000}"/>
    <cellStyle name="Normal 2 2 5 3 2 2" xfId="2833" xr:uid="{00000000-0005-0000-0000-000093080000}"/>
    <cellStyle name="Normal 2 2 5 3 3" xfId="2794" xr:uid="{00000000-0005-0000-0000-000092080000}"/>
    <cellStyle name="Normal 2 2 5 3 4" xfId="3465" xr:uid="{00000000-0005-0000-0000-0000C50B0000}"/>
    <cellStyle name="Normal 2 2 5 4" xfId="2092" xr:uid="{00000000-0005-0000-0000-000094080000}"/>
    <cellStyle name="Normal 2 2 5 4 2" xfId="2633" xr:uid="{00000000-0005-0000-0000-000095080000}"/>
    <cellStyle name="Normal 2 2 5 5" xfId="3464" xr:uid="{00000000-0005-0000-0000-0000C60B0000}"/>
    <cellStyle name="Normal 2 2 6" xfId="22" xr:uid="{823E4D01-BA70-406D-9FFE-4CFD230CC5BA}"/>
    <cellStyle name="Normal 2 2 6 2" xfId="20" xr:uid="{32EBBB81-8480-4E63-A944-38F9E14403B4}"/>
    <cellStyle name="Normal 2 2 6 2 2" xfId="3463" xr:uid="{00000000-0005-0000-0000-0000C70B0000}"/>
    <cellStyle name="Normal 2 2 6 3" xfId="2095" xr:uid="{00000000-0005-0000-0000-000098080000}"/>
    <cellStyle name="Normal 2 2 6 4" xfId="3282" xr:uid="{00000000-0005-0000-0000-0000680A0000}"/>
    <cellStyle name="Normal 2 2 7" xfId="33" xr:uid="{357DBB01-F89E-43AC-BA76-593EAC6B8640}"/>
    <cellStyle name="Normal 2 2 8" xfId="2096" xr:uid="{00000000-0005-0000-0000-00009A080000}"/>
    <cellStyle name="Normal 2 2 8 2" xfId="2097" xr:uid="{00000000-0005-0000-0000-00009B080000}"/>
    <cellStyle name="Normal 2 2 8 2 2" xfId="2098" xr:uid="{00000000-0005-0000-0000-00009C080000}"/>
    <cellStyle name="Normal 2 2 8 3" xfId="2099" xr:uid="{00000000-0005-0000-0000-00009D080000}"/>
    <cellStyle name="Normal 2 2 8 4" xfId="3462" xr:uid="{00000000-0005-0000-0000-0000C80B0000}"/>
    <cellStyle name="Normal 2 2 9" xfId="2100" xr:uid="{00000000-0005-0000-0000-00009E080000}"/>
    <cellStyle name="Normal 2 3" xfId="274" xr:uid="{00000000-0005-0000-0000-00009F080000}"/>
    <cellStyle name="Normal 2 3 10" xfId="2102" xr:uid="{00000000-0005-0000-0000-0000A0080000}"/>
    <cellStyle name="Normal 2 3 11" xfId="2101" xr:uid="{00000000-0005-0000-0000-0000A1080000}"/>
    <cellStyle name="Normal 2 3 11 2" xfId="2634" xr:uid="{00000000-0005-0000-0000-0000A2080000}"/>
    <cellStyle name="Normal 2 3 12" xfId="3283" xr:uid="{00000000-0005-0000-0000-0000730A0000}"/>
    <cellStyle name="Normal 2 3 2" xfId="275" xr:uid="{00000000-0005-0000-0000-0000A3080000}"/>
    <cellStyle name="Normal 2 3 2 2" xfId="341" xr:uid="{00000000-0005-0000-0000-0000A4080000}"/>
    <cellStyle name="Normal 2 3 2 2 2" xfId="367" xr:uid="{00000000-0005-0000-0000-0000A5080000}"/>
    <cellStyle name="Normal 2 3 2 2 2 2" xfId="2787" xr:uid="{00000000-0005-0000-0000-0000F6000000}"/>
    <cellStyle name="Normal 2 3 2 2 2 3" xfId="3284" xr:uid="{00000000-0005-0000-0000-0000780A0000}"/>
    <cellStyle name="Normal 2 3 2 2 3" xfId="2763" xr:uid="{00000000-0005-0000-0000-0000F5000000}"/>
    <cellStyle name="Normal 2 3 2 2 4" xfId="3285" xr:uid="{00000000-0005-0000-0000-00007A0A0000}"/>
    <cellStyle name="Normal 2 3 2 2 5" xfId="3461" xr:uid="{00000000-0005-0000-0000-0000C90B0000}"/>
    <cellStyle name="Normal 2 3 2 3" xfId="2635" xr:uid="{00000000-0005-0000-0000-0000A6080000}"/>
    <cellStyle name="Normal 2 3 2 4" xfId="3286" xr:uid="{00000000-0005-0000-0000-00007C0A0000}"/>
    <cellStyle name="Normal 2 3 3" xfId="276" xr:uid="{00000000-0005-0000-0000-0000A7080000}"/>
    <cellStyle name="Normal 2 3 3 2" xfId="330" xr:uid="{00000000-0005-0000-0000-0000A8080000}"/>
    <cellStyle name="Normal 2 3 3 2 2" xfId="363" xr:uid="{00000000-0005-0000-0000-0000A9080000}"/>
    <cellStyle name="Normal 2 3 3 2 2 2" xfId="2783" xr:uid="{00000000-0005-0000-0000-0000F9000000}"/>
    <cellStyle name="Normal 2 3 3 2 2 3" xfId="3287" xr:uid="{00000000-0005-0000-0000-0000810A0000}"/>
    <cellStyle name="Normal 2 3 3 2 3" xfId="2759" xr:uid="{00000000-0005-0000-0000-0000F8000000}"/>
    <cellStyle name="Normal 2 3 3 2 4" xfId="3288" xr:uid="{00000000-0005-0000-0000-0000830A0000}"/>
    <cellStyle name="Normal 2 3 3 2 5" xfId="3460" xr:uid="{00000000-0005-0000-0000-0000CA0B0000}"/>
    <cellStyle name="Normal 2 3 3 3" xfId="2636" xr:uid="{00000000-0005-0000-0000-0000AA080000}"/>
    <cellStyle name="Normal 2 3 3 4" xfId="3289" xr:uid="{00000000-0005-0000-0000-0000850A0000}"/>
    <cellStyle name="Normal 2 3 4" xfId="340" xr:uid="{00000000-0005-0000-0000-0000AB080000}"/>
    <cellStyle name="Normal 2 3 4 2" xfId="366" xr:uid="{00000000-0005-0000-0000-0000AC080000}"/>
    <cellStyle name="Normal 2 3 4 2 2" xfId="2786" xr:uid="{00000000-0005-0000-0000-0000FB000000}"/>
    <cellStyle name="Normal 2 3 4 2 3" xfId="3290" xr:uid="{00000000-0005-0000-0000-0000890A0000}"/>
    <cellStyle name="Normal 2 3 4 3" xfId="2762" xr:uid="{00000000-0005-0000-0000-0000FA000000}"/>
    <cellStyle name="Normal 2 3 4 4" xfId="3291" xr:uid="{00000000-0005-0000-0000-00008B0A0000}"/>
    <cellStyle name="Normal 2 3 4 5" xfId="3459" xr:uid="{00000000-0005-0000-0000-0000CB0B0000}"/>
    <cellStyle name="Normal 2 3 5" xfId="329" xr:uid="{00000000-0005-0000-0000-0000AD080000}"/>
    <cellStyle name="Normal 2 3 5 2" xfId="362" xr:uid="{00000000-0005-0000-0000-0000AE080000}"/>
    <cellStyle name="Normal 2 3 5 2 2" xfId="2782" xr:uid="{00000000-0005-0000-0000-0000FD000000}"/>
    <cellStyle name="Normal 2 3 5 2 3" xfId="3292" xr:uid="{00000000-0005-0000-0000-00008F0A0000}"/>
    <cellStyle name="Normal 2 3 5 3" xfId="2758" xr:uid="{00000000-0005-0000-0000-0000FC000000}"/>
    <cellStyle name="Normal 2 3 5 4" xfId="3293" xr:uid="{00000000-0005-0000-0000-0000910A0000}"/>
    <cellStyle name="Normal 2 3 5 5" xfId="3458" xr:uid="{00000000-0005-0000-0000-0000CC0B0000}"/>
    <cellStyle name="Normal 2 3 6" xfId="339" xr:uid="{00000000-0005-0000-0000-0000AF080000}"/>
    <cellStyle name="Normal 2 3 6 2" xfId="365" xr:uid="{00000000-0005-0000-0000-0000B0080000}"/>
    <cellStyle name="Normal 2 3 6 2 2" xfId="2785" xr:uid="{00000000-0005-0000-0000-0000FF000000}"/>
    <cellStyle name="Normal 2 3 6 2 3" xfId="3294" xr:uid="{00000000-0005-0000-0000-0000950A0000}"/>
    <cellStyle name="Normal 2 3 6 3" xfId="2761" xr:uid="{00000000-0005-0000-0000-0000FE000000}"/>
    <cellStyle name="Normal 2 3 6 4" xfId="3295" xr:uid="{00000000-0005-0000-0000-0000970A0000}"/>
    <cellStyle name="Normal 2 3 6 5" xfId="3457" xr:uid="{00000000-0005-0000-0000-0000CD0B0000}"/>
    <cellStyle name="Normal 2 3 7" xfId="331" xr:uid="{00000000-0005-0000-0000-0000B1080000}"/>
    <cellStyle name="Normal 2 3 7 2" xfId="364" xr:uid="{00000000-0005-0000-0000-0000B2080000}"/>
    <cellStyle name="Normal 2 3 7 2 2" xfId="2784" xr:uid="{00000000-0005-0000-0000-000001010000}"/>
    <cellStyle name="Normal 2 3 7 2 3" xfId="3296" xr:uid="{00000000-0005-0000-0000-00009B0A0000}"/>
    <cellStyle name="Normal 2 3 7 3" xfId="2760" xr:uid="{00000000-0005-0000-0000-000000010000}"/>
    <cellStyle name="Normal 2 3 7 4" xfId="3297" xr:uid="{00000000-0005-0000-0000-00009D0A0000}"/>
    <cellStyle name="Normal 2 3 7 5" xfId="3456" xr:uid="{00000000-0005-0000-0000-0000CE0B0000}"/>
    <cellStyle name="Normal 2 3 8" xfId="2103" xr:uid="{00000000-0005-0000-0000-0000B3080000}"/>
    <cellStyle name="Normal 2 3 8 2" xfId="2415" xr:uid="{00000000-0005-0000-0000-0000B4080000}"/>
    <cellStyle name="Normal 2 3 8 2 2" xfId="2814" xr:uid="{00000000-0005-0000-0000-0000B4080000}"/>
    <cellStyle name="Normal 2 3 8 2 3" xfId="3455" xr:uid="{00000000-0005-0000-0000-0000CF0B0000}"/>
    <cellStyle name="Normal 2 3 9" xfId="2104" xr:uid="{00000000-0005-0000-0000-0000B5080000}"/>
    <cellStyle name="Normal 2 3 9 2" xfId="2416" xr:uid="{00000000-0005-0000-0000-0000B6080000}"/>
    <cellStyle name="Normal 2 3 9 2 2" xfId="2637" xr:uid="{00000000-0005-0000-0000-0000B7080000}"/>
    <cellStyle name="Normal 2 3 9 2 2 2" xfId="2834" xr:uid="{00000000-0005-0000-0000-0000B7080000}"/>
    <cellStyle name="Normal 2 3 9 3" xfId="2795" xr:uid="{00000000-0005-0000-0000-0000B5080000}"/>
    <cellStyle name="Normal 2 4" xfId="277" xr:uid="{00000000-0005-0000-0000-0000B8080000}"/>
    <cellStyle name="Normal 2 4 2" xfId="328" xr:uid="{00000000-0005-0000-0000-0000B9080000}"/>
    <cellStyle name="Normal 2 4 2 2" xfId="2106" xr:uid="{00000000-0005-0000-0000-0000BA080000}"/>
    <cellStyle name="Normal 2 4 2 3" xfId="2107" xr:uid="{00000000-0005-0000-0000-0000BB080000}"/>
    <cellStyle name="Normal 2 4 2 3 2" xfId="2638" xr:uid="{00000000-0005-0000-0000-0000BC080000}"/>
    <cellStyle name="Normal 2 4 2 3 2 2" xfId="2835" xr:uid="{00000000-0005-0000-0000-0000BC080000}"/>
    <cellStyle name="Normal 2 4 2 3 3" xfId="2796" xr:uid="{00000000-0005-0000-0000-0000BB080000}"/>
    <cellStyle name="Normal 2 4 2 3 4" xfId="3454" xr:uid="{00000000-0005-0000-0000-0000D00B0000}"/>
    <cellStyle name="Normal 2 4 3" xfId="2108" xr:uid="{00000000-0005-0000-0000-0000BD080000}"/>
    <cellStyle name="Normal 2 4 3 2" xfId="2109" xr:uid="{00000000-0005-0000-0000-0000BE080000}"/>
    <cellStyle name="Normal 2 4 3 3" xfId="2639" xr:uid="{00000000-0005-0000-0000-0000BF080000}"/>
    <cellStyle name="Normal 2 4 3 3 2" xfId="2836" xr:uid="{00000000-0005-0000-0000-0000BF080000}"/>
    <cellStyle name="Normal 2 4 3 4" xfId="2797" xr:uid="{00000000-0005-0000-0000-0000BD080000}"/>
    <cellStyle name="Normal 2 4 4" xfId="2110" xr:uid="{00000000-0005-0000-0000-0000C0080000}"/>
    <cellStyle name="Normal 2 4 5" xfId="2111" xr:uid="{00000000-0005-0000-0000-0000C1080000}"/>
    <cellStyle name="Normal 2 4 6" xfId="2105" xr:uid="{00000000-0005-0000-0000-0000C2080000}"/>
    <cellStyle name="Normal 2 4 7" xfId="3298" xr:uid="{00000000-0005-0000-0000-0000B50A0000}"/>
    <cellStyle name="Normal 2 5" xfId="278" xr:uid="{00000000-0005-0000-0000-0000C3080000}"/>
    <cellStyle name="Normal 2 5 2" xfId="2112" xr:uid="{00000000-0005-0000-0000-0000C4080000}"/>
    <cellStyle name="Normal 2 5 2 2" xfId="2417" xr:uid="{00000000-0005-0000-0000-0000C5080000}"/>
    <cellStyle name="Normal 2 5 2 3" xfId="2798" xr:uid="{00000000-0005-0000-0000-0000C4080000}"/>
    <cellStyle name="Normal 2 5 3" xfId="2640" xr:uid="{00000000-0005-0000-0000-0000C6080000}"/>
    <cellStyle name="Normal 2 5 3 2" xfId="3453" xr:uid="{00000000-0005-0000-0000-0000D10B0000}"/>
    <cellStyle name="Normal 2 5 4" xfId="3452" xr:uid="{00000000-0005-0000-0000-0000D20B0000}"/>
    <cellStyle name="Normal 2 6" xfId="2113" xr:uid="{00000000-0005-0000-0000-0000C7080000}"/>
    <cellStyle name="Normal 2 6 2" xfId="2114" xr:uid="{00000000-0005-0000-0000-0000C8080000}"/>
    <cellStyle name="Normal 2 6 2 2" xfId="2641" xr:uid="{00000000-0005-0000-0000-0000C9080000}"/>
    <cellStyle name="Normal 2 6 2 2 2" xfId="2837" xr:uid="{00000000-0005-0000-0000-0000C9080000}"/>
    <cellStyle name="Normal 2 6 2 3" xfId="2800" xr:uid="{00000000-0005-0000-0000-0000C8080000}"/>
    <cellStyle name="Normal 2 6 2 4" xfId="3451" xr:uid="{00000000-0005-0000-0000-0000D30B0000}"/>
    <cellStyle name="Normal 2 6 3" xfId="2115" xr:uid="{00000000-0005-0000-0000-0000CA080000}"/>
    <cellStyle name="Normal 2 6 4" xfId="2642" xr:uid="{00000000-0005-0000-0000-0000CB080000}"/>
    <cellStyle name="Normal 2 6 4 2" xfId="2838" xr:uid="{00000000-0005-0000-0000-0000CB080000}"/>
    <cellStyle name="Normal 2 6 5" xfId="2799" xr:uid="{00000000-0005-0000-0000-0000C7080000}"/>
    <cellStyle name="Normal 2 6 6" xfId="3299" xr:uid="{00000000-0005-0000-0000-0000C40A0000}"/>
    <cellStyle name="Normal 2 6 6 2" xfId="3450" xr:uid="{00000000-0005-0000-0000-0000D40B0000}"/>
    <cellStyle name="Normal 2 7" xfId="2116" xr:uid="{00000000-0005-0000-0000-0000CC080000}"/>
    <cellStyle name="Normal 2 7 2" xfId="2643" xr:uid="{00000000-0005-0000-0000-0000CD080000}"/>
    <cellStyle name="Normal 2 7 2 2" xfId="2839" xr:uid="{00000000-0005-0000-0000-0000CD080000}"/>
    <cellStyle name="Normal 2 7 3" xfId="2801" xr:uid="{00000000-0005-0000-0000-0000CC080000}"/>
    <cellStyle name="Normal 2 7 4" xfId="3449" xr:uid="{00000000-0005-0000-0000-0000D50B0000}"/>
    <cellStyle name="Normal 2 8" xfId="2117" xr:uid="{00000000-0005-0000-0000-0000CE080000}"/>
    <cellStyle name="Normal 2 8 2" xfId="2118" xr:uid="{00000000-0005-0000-0000-0000CF080000}"/>
    <cellStyle name="Normal 2 8 2 2" xfId="2119" xr:uid="{00000000-0005-0000-0000-0000D0080000}"/>
    <cellStyle name="Normal 2 8 2 3" xfId="2644" xr:uid="{00000000-0005-0000-0000-0000D1080000}"/>
    <cellStyle name="Normal 2 8 2 3 2" xfId="2840" xr:uid="{00000000-0005-0000-0000-0000D1080000}"/>
    <cellStyle name="Normal 2 8 2 4" xfId="2802" xr:uid="{00000000-0005-0000-0000-0000CF080000}"/>
    <cellStyle name="Normal 2 8 3" xfId="2120" xr:uid="{00000000-0005-0000-0000-0000D2080000}"/>
    <cellStyle name="Normal 2 8 3 2" xfId="2645" xr:uid="{00000000-0005-0000-0000-0000D3080000}"/>
    <cellStyle name="Normal 2 8 3 2 2" xfId="2841" xr:uid="{00000000-0005-0000-0000-0000D3080000}"/>
    <cellStyle name="Normal 2 8 3 3" xfId="2803" xr:uid="{00000000-0005-0000-0000-0000D2080000}"/>
    <cellStyle name="Normal 2 8 4" xfId="3448" xr:uid="{00000000-0005-0000-0000-0000D60B0000}"/>
    <cellStyle name="Normal 2 8 5" xfId="3447" xr:uid="{00000000-0005-0000-0000-0000D70B0000}"/>
    <cellStyle name="Normal 2 9" xfId="2121" xr:uid="{00000000-0005-0000-0000-0000D4080000}"/>
    <cellStyle name="Normal 2 9 2" xfId="2646" xr:uid="{00000000-0005-0000-0000-0000D5080000}"/>
    <cellStyle name="Normal 2 9 2 2" xfId="2842" xr:uid="{00000000-0005-0000-0000-0000D5080000}"/>
    <cellStyle name="Normal 2 9 3" xfId="2804" xr:uid="{00000000-0005-0000-0000-0000D4080000}"/>
    <cellStyle name="Normal 2 9 4" xfId="3446" xr:uid="{00000000-0005-0000-0000-0000D80B0000}"/>
    <cellStyle name="Normal 20" xfId="2647" xr:uid="{00000000-0005-0000-0000-0000D6080000}"/>
    <cellStyle name="Normal 21" xfId="2426" xr:uid="{00000000-0005-0000-0000-0000D7080000}"/>
    <cellStyle name="Normal 21 2" xfId="2735" xr:uid="{00000000-0005-0000-0000-0000D8080000}"/>
    <cellStyle name="Normal 22" xfId="2736" xr:uid="{00000000-0005-0000-0000-0000D9080000}"/>
    <cellStyle name="Normal 22 2" xfId="2738" xr:uid="{00000000-0005-0000-0000-0000DA080000}"/>
    <cellStyle name="Normal 22 3" xfId="2737" xr:uid="{00000000-0005-0000-0000-0000DB080000}"/>
    <cellStyle name="Normal 23" xfId="13" xr:uid="{28236BA8-6923-4F7B-B855-CE634D6AFECB}"/>
    <cellStyle name="Normal 23 2" xfId="29" xr:uid="{3C801C57-0DE2-4EF6-9161-A0C693D223A5}"/>
    <cellStyle name="Normal 23 3" xfId="2852" xr:uid="{00000000-0005-0000-0000-00004D0B0000}"/>
    <cellStyle name="Normal 24" xfId="28" xr:uid="{4DBF80F2-64C1-475D-B29D-2A295DED5365}"/>
    <cellStyle name="Normal 25" xfId="21" xr:uid="{8DF037B6-A6E4-42AD-91F6-990BE630ED7C}"/>
    <cellStyle name="Normal 26" xfId="2851" xr:uid="{00000000-0005-0000-0000-00004A0B0000}"/>
    <cellStyle name="Normal 26 2" xfId="2853" xr:uid="{00000000-0005-0000-0000-00004A0B0000}"/>
    <cellStyle name="Normal 27" xfId="2854" xr:uid="{00000000-0005-0000-0000-0000520B0000}"/>
    <cellStyle name="Normal 3" xfId="17" xr:uid="{3303CB65-A4C4-46C8-8B58-F19F40C63D6A}"/>
    <cellStyle name="Normal 3 2" xfId="267" xr:uid="{00000000-0005-0000-0000-0000DD080000}"/>
    <cellStyle name="Normal 3 2 2" xfId="30" xr:uid="{727F2AFE-D008-4060-AA6C-A76D3D6390E7}"/>
    <cellStyle name="Normal 3 2 2 2" xfId="18" xr:uid="{E42822D6-120C-4647-A064-E342B127BB8B}"/>
    <cellStyle name="Normal 3 2 2 2 2" xfId="2418" xr:uid="{00000000-0005-0000-0000-0000E0080000}"/>
    <cellStyle name="Normal 3 2 2 3" xfId="3" xr:uid="{454DB117-B010-419D-AC68-79C4BB3694F9}"/>
    <cellStyle name="Normal 3 2 2 4" xfId="3445" xr:uid="{00000000-0005-0000-0000-0000DB0B0000}"/>
    <cellStyle name="Normal 3 2 3" xfId="2122" xr:uid="{00000000-0005-0000-0000-0000E2080000}"/>
    <cellStyle name="Normal 3 2 3 2" xfId="2419" xr:uid="{00000000-0005-0000-0000-0000E3080000}"/>
    <cellStyle name="Normal 3 2 4" xfId="2420" xr:uid="{00000000-0005-0000-0000-0000E4080000}"/>
    <cellStyle name="Normal 3 3" xfId="279" xr:uid="{00000000-0005-0000-0000-0000E5080000}"/>
    <cellStyle name="Normal 3 3 2" xfId="334" xr:uid="{00000000-0005-0000-0000-0000E6080000}"/>
    <cellStyle name="Normal 3 3 3" xfId="2648" xr:uid="{00000000-0005-0000-0000-0000E7080000}"/>
    <cellStyle name="Normal 3 3 4" xfId="3300" xr:uid="{00000000-0005-0000-0000-0000F10A0000}"/>
    <cellStyle name="Normal 3 4" xfId="327" xr:uid="{00000000-0005-0000-0000-0000E8080000}"/>
    <cellStyle name="Normal 3 5" xfId="2123" xr:uid="{00000000-0005-0000-0000-0000E9080000}"/>
    <cellStyle name="Normal 3 6" xfId="2124" xr:uid="{00000000-0005-0000-0000-0000EA080000}"/>
    <cellStyle name="Normal 3 7" xfId="2125" xr:uid="{00000000-0005-0000-0000-0000EB080000}"/>
    <cellStyle name="Normal 3 8" xfId="2649" xr:uid="{00000000-0005-0000-0000-0000EC080000}"/>
    <cellStyle name="Normal 4" xfId="14" xr:uid="{EA61E649-EB44-4435-B9EA-28994BFBB51B}"/>
    <cellStyle name="Normal 4 2" xfId="262" xr:uid="{00000000-0005-0000-0000-0000EE080000}"/>
    <cellStyle name="Normal 4 2 2" xfId="2127" xr:uid="{00000000-0005-0000-0000-0000EF080000}"/>
    <cellStyle name="Normal 4 2 2 2" xfId="27" xr:uid="{CC597BB5-98B1-42FD-858C-D75042C1C0A0}"/>
    <cellStyle name="Normal 4 2 3" xfId="2128" xr:uid="{00000000-0005-0000-0000-0000F1080000}"/>
    <cellStyle name="Normal 4 2 4" xfId="2129" xr:uid="{00000000-0005-0000-0000-0000F2080000}"/>
    <cellStyle name="Normal 4 3" xfId="280" xr:uid="{00000000-0005-0000-0000-0000F3080000}"/>
    <cellStyle name="Normal 4 3 2" xfId="2131" xr:uid="{00000000-0005-0000-0000-0000F4080000}"/>
    <cellStyle name="Normal 4 3 3" xfId="2132" xr:uid="{00000000-0005-0000-0000-0000F5080000}"/>
    <cellStyle name="Normal 4 3 4" xfId="2130" xr:uid="{00000000-0005-0000-0000-0000F6080000}"/>
    <cellStyle name="Normal 4 3 5" xfId="3301" xr:uid="{00000000-0005-0000-0000-0000010B0000}"/>
    <cellStyle name="Normal 4 4" xfId="338" xr:uid="{00000000-0005-0000-0000-0000F7080000}"/>
    <cellStyle name="Normal 4 4 2" xfId="2134" xr:uid="{00000000-0005-0000-0000-0000F8080000}"/>
    <cellStyle name="Normal 4 4 2 2" xfId="3444" xr:uid="{00000000-0005-0000-0000-0000DC0B0000}"/>
    <cellStyle name="Normal 4 4 3" xfId="2133" xr:uid="{00000000-0005-0000-0000-0000F9080000}"/>
    <cellStyle name="Normal 4 4 3 2" xfId="2650" xr:uid="{00000000-0005-0000-0000-0000FA080000}"/>
    <cellStyle name="Normal 4 4 3 3" xfId="3302" xr:uid="{00000000-0005-0000-0000-0000060B0000}"/>
    <cellStyle name="Normal 4 4 4" xfId="2421" xr:uid="{00000000-0005-0000-0000-0000FB080000}"/>
    <cellStyle name="Normal 4 4 4 2" xfId="2815" xr:uid="{00000000-0005-0000-0000-0000FB080000}"/>
    <cellStyle name="Normal 4 5" xfId="2135" xr:uid="{00000000-0005-0000-0000-0000FC080000}"/>
    <cellStyle name="Normal 4 5 2" xfId="2651" xr:uid="{00000000-0005-0000-0000-0000FD080000}"/>
    <cellStyle name="Normal 4 5 2 2" xfId="2843" xr:uid="{00000000-0005-0000-0000-0000FD080000}"/>
    <cellStyle name="Normal 4 5 3" xfId="3443" xr:uid="{00000000-0005-0000-0000-0000DD0B0000}"/>
    <cellStyle name="Normal 4 6" xfId="2126" xr:uid="{00000000-0005-0000-0000-0000FE080000}"/>
    <cellStyle name="Normal 4 7" xfId="42" xr:uid="{00000000-0005-0000-0000-0000ED080000}"/>
    <cellStyle name="Normal 5" xfId="41" xr:uid="{00000000-0005-0000-0000-0000FF080000}"/>
    <cellStyle name="Normal 5 2" xfId="263" xr:uid="{00000000-0005-0000-0000-000000090000}"/>
    <cellStyle name="Normal 5 2 2" xfId="361" xr:uid="{00000000-0005-0000-0000-000001090000}"/>
    <cellStyle name="Normal 5 2 2 2" xfId="2422" xr:uid="{00000000-0005-0000-0000-000002090000}"/>
    <cellStyle name="Normal 5 2 2 2 2" xfId="2652" xr:uid="{00000000-0005-0000-0000-000003090000}"/>
    <cellStyle name="Normal 5 2 2 2 2 2" xfId="2844" xr:uid="{00000000-0005-0000-0000-000003090000}"/>
    <cellStyle name="Normal 5 2 2 3" xfId="2781" xr:uid="{00000000-0005-0000-0000-000010010000}"/>
    <cellStyle name="Normal 5 2 2 4" xfId="3303" xr:uid="{00000000-0005-0000-0000-0000150B0000}"/>
    <cellStyle name="Normal 5 2 3" xfId="2137" xr:uid="{00000000-0005-0000-0000-000004090000}"/>
    <cellStyle name="Normal 5 2 4" xfId="2138" xr:uid="{00000000-0005-0000-0000-000005090000}"/>
    <cellStyle name="Normal 5 2 5" xfId="2653" xr:uid="{00000000-0005-0000-0000-000006090000}"/>
    <cellStyle name="Normal 5 2 5 2" xfId="2845" xr:uid="{00000000-0005-0000-0000-000006090000}"/>
    <cellStyle name="Normal 5 2 6" xfId="2757" xr:uid="{00000000-0005-0000-0000-00000F010000}"/>
    <cellStyle name="Normal 5 2 7" xfId="3304" xr:uid="{00000000-0005-0000-0000-00001B0B0000}"/>
    <cellStyle name="Normal 5 2 8" xfId="3305" xr:uid="{00000000-0005-0000-0000-00001C0B0000}"/>
    <cellStyle name="Normal 5 3" xfId="345" xr:uid="{00000000-0005-0000-0000-000007090000}"/>
    <cellStyle name="Normal 5 3 2" xfId="2654" xr:uid="{00000000-0005-0000-0000-000008090000}"/>
    <cellStyle name="Normal 5 3 2 2" xfId="2846" xr:uid="{00000000-0005-0000-0000-000008090000}"/>
    <cellStyle name="Normal 5 3 3" xfId="2655" xr:uid="{00000000-0005-0000-0000-000009090000}"/>
    <cellStyle name="Normal 5 3 4" xfId="2765" xr:uid="{00000000-0005-0000-0000-000011010000}"/>
    <cellStyle name="Normal 5 3 5" xfId="3306" xr:uid="{00000000-0005-0000-0000-0000220B0000}"/>
    <cellStyle name="Normal 5 3 6" xfId="3442" xr:uid="{00000000-0005-0000-0000-0000DE0B0000}"/>
    <cellStyle name="Normal 5 4" xfId="2139" xr:uid="{00000000-0005-0000-0000-00000A090000}"/>
    <cellStyle name="Normal 5 4 2" xfId="2423" xr:uid="{00000000-0005-0000-0000-00000B090000}"/>
    <cellStyle name="Normal 5 5" xfId="2136" xr:uid="{00000000-0005-0000-0000-00000C090000}"/>
    <cellStyle name="Normal 5 6" xfId="2740" xr:uid="{00000000-0005-0000-0000-00000E010000}"/>
    <cellStyle name="Normal 5 7" xfId="3307" xr:uid="{00000000-0005-0000-0000-0000270B0000}"/>
    <cellStyle name="Normal 6" xfId="214" xr:uid="{00000000-0005-0000-0000-00000D090000}"/>
    <cellStyle name="Normal 6 2" xfId="264" xr:uid="{00000000-0005-0000-0000-00000E090000}"/>
    <cellStyle name="Normal 6 2 2" xfId="2140" xr:uid="{00000000-0005-0000-0000-00000F090000}"/>
    <cellStyle name="Normal 6 2 2 2" xfId="3441" xr:uid="{00000000-0005-0000-0000-0000DF0B0000}"/>
    <cellStyle name="Normal 6 2 2 3" xfId="9" xr:uid="{35945FDA-A345-4B2A-80A4-23130F61F83B}"/>
    <cellStyle name="Normal 6 2 3" xfId="2141" xr:uid="{00000000-0005-0000-0000-000010090000}"/>
    <cellStyle name="Normal 6 2 3 2" xfId="2656" xr:uid="{00000000-0005-0000-0000-000011090000}"/>
    <cellStyle name="Normal 6 2 3 2 2" xfId="2847" xr:uid="{00000000-0005-0000-0000-000011090000}"/>
    <cellStyle name="Normal 6 2 3 3" xfId="2805" xr:uid="{00000000-0005-0000-0000-000010090000}"/>
    <cellStyle name="Normal 6 3" xfId="2142" xr:uid="{00000000-0005-0000-0000-000012090000}"/>
    <cellStyle name="Normal 6 3 2" xfId="2143" xr:uid="{00000000-0005-0000-0000-000013090000}"/>
    <cellStyle name="Normal 6 3 3" xfId="2144" xr:uid="{00000000-0005-0000-0000-000014090000}"/>
    <cellStyle name="Normal 6 4" xfId="2145" xr:uid="{00000000-0005-0000-0000-000015090000}"/>
    <cellStyle name="Normal 6 4 2" xfId="2657" xr:uid="{00000000-0005-0000-0000-000016090000}"/>
    <cellStyle name="Normal 6 4 2 2" xfId="2848" xr:uid="{00000000-0005-0000-0000-000016090000}"/>
    <cellStyle name="Normal 6 4 3" xfId="2806" xr:uid="{00000000-0005-0000-0000-000015090000}"/>
    <cellStyle name="Normal 6 4 4" xfId="3440" xr:uid="{00000000-0005-0000-0000-0000E00B0000}"/>
    <cellStyle name="Normal 6 5" xfId="2146" xr:uid="{00000000-0005-0000-0000-000017090000}"/>
    <cellStyle name="Normal 6 5 2" xfId="3439" xr:uid="{00000000-0005-0000-0000-0000E10B0000}"/>
    <cellStyle name="Normal 6 6" xfId="2658" xr:uid="{00000000-0005-0000-0000-000018090000}"/>
    <cellStyle name="Normal 6 7" xfId="3438" xr:uid="{00000000-0005-0000-0000-0000E20B0000}"/>
    <cellStyle name="Normal 7" xfId="36" xr:uid="{00000000-0005-0000-0000-000019090000}"/>
    <cellStyle name="Normal 7 2" xfId="268" xr:uid="{00000000-0005-0000-0000-00001A090000}"/>
    <cellStyle name="Normal 7 2 2" xfId="2148" xr:uid="{00000000-0005-0000-0000-00001B090000}"/>
    <cellStyle name="Normal 7 2 2 2" xfId="2659" xr:uid="{00000000-0005-0000-0000-00001C090000}"/>
    <cellStyle name="Normal 7 2 2 2 2" xfId="2849" xr:uid="{00000000-0005-0000-0000-00001C090000}"/>
    <cellStyle name="Normal 7 2 2 3" xfId="2808" xr:uid="{00000000-0005-0000-0000-00001B090000}"/>
    <cellStyle name="Normal 7 2 2 4" xfId="3437" xr:uid="{00000000-0005-0000-0000-0000E30B0000}"/>
    <cellStyle name="Normal 7 2 3" xfId="2149" xr:uid="{00000000-0005-0000-0000-00001D090000}"/>
    <cellStyle name="Normal 7 2 3 2" xfId="2424" xr:uid="{00000000-0005-0000-0000-00001E090000}"/>
    <cellStyle name="Normal 7 2 4" xfId="2150" xr:uid="{00000000-0005-0000-0000-00001F090000}"/>
    <cellStyle name="Normal 7 2 4 2" xfId="3436" xr:uid="{00000000-0005-0000-0000-0000E40B0000}"/>
    <cellStyle name="Normal 7 2 5" xfId="2147" xr:uid="{00000000-0005-0000-0000-000020090000}"/>
    <cellStyle name="Normal 7 2 5 2" xfId="2807" xr:uid="{00000000-0005-0000-0000-000020090000}"/>
    <cellStyle name="Normal 7 2 6" xfId="2660" xr:uid="{00000000-0005-0000-0000-000021090000}"/>
    <cellStyle name="Normal 7 2 7" xfId="3435" xr:uid="{00000000-0005-0000-0000-0000E50B0000}"/>
    <cellStyle name="Normal 7 3" xfId="337" xr:uid="{00000000-0005-0000-0000-000022090000}"/>
    <cellStyle name="Normal 7 3 2" xfId="2152" xr:uid="{00000000-0005-0000-0000-000023090000}"/>
    <cellStyle name="Normal 7 3 3" xfId="2151" xr:uid="{00000000-0005-0000-0000-000024090000}"/>
    <cellStyle name="Normal 7 4" xfId="326" xr:uid="{00000000-0005-0000-0000-000025090000}"/>
    <cellStyle name="Normal 7 4 2" xfId="3308" xr:uid="{00000000-0005-0000-0000-0000490B0000}"/>
    <cellStyle name="Normal 8" xfId="23" xr:uid="{9A0C5470-2FF5-497C-BCAA-F76C0ADF918C}"/>
    <cellStyle name="Normal 8 2" xfId="281" xr:uid="{00000000-0005-0000-0000-000027090000}"/>
    <cellStyle name="Normal 8 2 2" xfId="2155" xr:uid="{00000000-0005-0000-0000-000028090000}"/>
    <cellStyle name="Normal 8 2 3" xfId="2154" xr:uid="{00000000-0005-0000-0000-000029090000}"/>
    <cellStyle name="Normal 8 2 3 2" xfId="2809" xr:uid="{00000000-0005-0000-0000-000029090000}"/>
    <cellStyle name="Normal 8 2 4" xfId="2661" xr:uid="{00000000-0005-0000-0000-00002A090000}"/>
    <cellStyle name="Normal 8 3" xfId="360" xr:uid="{00000000-0005-0000-0000-00002B090000}"/>
    <cellStyle name="Normal 8 3 2" xfId="2157" xr:uid="{00000000-0005-0000-0000-00002C090000}"/>
    <cellStyle name="Normal 8 3 2 2" xfId="2662" xr:uid="{00000000-0005-0000-0000-00002D090000}"/>
    <cellStyle name="Normal 8 3 2 2 2" xfId="2850" xr:uid="{00000000-0005-0000-0000-00002D090000}"/>
    <cellStyle name="Normal 8 3 2 3" xfId="2810" xr:uid="{00000000-0005-0000-0000-00002C090000}"/>
    <cellStyle name="Normal 8 3 3" xfId="2156" xr:uid="{00000000-0005-0000-0000-00002E090000}"/>
    <cellStyle name="Normal 8 3 4" xfId="2780" xr:uid="{00000000-0005-0000-0000-00001A010000}"/>
    <cellStyle name="Normal 8 3 5" xfId="3309" xr:uid="{00000000-0005-0000-0000-0000570B0000}"/>
    <cellStyle name="Normal 8 4" xfId="2153" xr:uid="{00000000-0005-0000-0000-00002F090000}"/>
    <cellStyle name="Normal 8 5" xfId="2663" xr:uid="{00000000-0005-0000-0000-000030090000}"/>
    <cellStyle name="Normal 8 6" xfId="2755" xr:uid="{00000000-0005-0000-0000-000018010000}"/>
    <cellStyle name="Normal 8 7" xfId="257" xr:uid="{00000000-0005-0000-0000-000026090000}"/>
    <cellStyle name="Normal 8 8" xfId="3434" xr:uid="{00000000-0005-0000-0000-0000E60B0000}"/>
    <cellStyle name="Normal 8 9" xfId="3433" xr:uid="{00000000-0005-0000-0000-0000E70B0000}"/>
    <cellStyle name="Normal 9" xfId="34" xr:uid="{F0AE5B50-8960-4EA6-8476-C4B2106BEB97}"/>
    <cellStyle name="Normal 9 2" xfId="2159" xr:uid="{00000000-0005-0000-0000-000032090000}"/>
    <cellStyle name="Normal 9 2 2" xfId="2160" xr:uid="{00000000-0005-0000-0000-000033090000}"/>
    <cellStyle name="Normal 9 3" xfId="2161" xr:uid="{00000000-0005-0000-0000-000034090000}"/>
    <cellStyle name="Normal 9 3 2" xfId="3432" xr:uid="{00000000-0005-0000-0000-0000E80B0000}"/>
    <cellStyle name="Normal 9 4" xfId="2158" xr:uid="{00000000-0005-0000-0000-000035090000}"/>
    <cellStyle name="Normal 9 4 2" xfId="2664" xr:uid="{00000000-0005-0000-0000-000036090000}"/>
    <cellStyle name="Normal 9 5" xfId="282" xr:uid="{00000000-0005-0000-0000-000031090000}"/>
    <cellStyle name="Normale 2" xfId="183" xr:uid="{00000000-0005-0000-0000-000038090000}"/>
    <cellStyle name="Normale 2 2" xfId="313" xr:uid="{00000000-0005-0000-0000-000039090000}"/>
    <cellStyle name="Normale 2 2 2" xfId="2163" xr:uid="{00000000-0005-0000-0000-00003A090000}"/>
    <cellStyle name="Normale 2 2 2 2" xfId="2665" xr:uid="{00000000-0005-0000-0000-00003B090000}"/>
    <cellStyle name="Normale 2 2 3" xfId="2666" xr:uid="{00000000-0005-0000-0000-00003C090000}"/>
    <cellStyle name="Normale 2 2 4" xfId="3310" xr:uid="{00000000-0005-0000-0000-0000680B0000}"/>
    <cellStyle name="Normale 2 2 4 2" xfId="3311" xr:uid="{00000000-0005-0000-0000-0000690B0000}"/>
    <cellStyle name="Normale 2 2 5" xfId="3312" xr:uid="{00000000-0005-0000-0000-00006A0B0000}"/>
    <cellStyle name="Normale 2 3" xfId="2164" xr:uid="{00000000-0005-0000-0000-00003D090000}"/>
    <cellStyle name="Normale 2 3 2" xfId="2667" xr:uid="{00000000-0005-0000-0000-00003E090000}"/>
    <cellStyle name="Normale 2 4" xfId="2162" xr:uid="{00000000-0005-0000-0000-00003F090000}"/>
    <cellStyle name="Normale 2 5" xfId="2668" xr:uid="{00000000-0005-0000-0000-000040090000}"/>
    <cellStyle name="Normale 2 6" xfId="2669" xr:uid="{00000000-0005-0000-0000-000041090000}"/>
    <cellStyle name="Normale 2 7" xfId="3313" xr:uid="{00000000-0005-0000-0000-0000700B0000}"/>
    <cellStyle name="Normale 2 7 2" xfId="3314" xr:uid="{00000000-0005-0000-0000-0000710B0000}"/>
    <cellStyle name="Normale 2 8" xfId="3315" xr:uid="{00000000-0005-0000-0000-0000720B0000}"/>
    <cellStyle name="Normale 3" xfId="184" xr:uid="{00000000-0005-0000-0000-000042090000}"/>
    <cellStyle name="Normale 3 2" xfId="314" xr:uid="{00000000-0005-0000-0000-000043090000}"/>
    <cellStyle name="Normale 3 2 2" xfId="2166" xr:uid="{00000000-0005-0000-0000-000044090000}"/>
    <cellStyle name="Normale 3 2 2 2" xfId="2670" xr:uid="{00000000-0005-0000-0000-000045090000}"/>
    <cellStyle name="Normale 3 2 3" xfId="2671" xr:uid="{00000000-0005-0000-0000-000046090000}"/>
    <cellStyle name="Normale 3 2 4" xfId="3316" xr:uid="{00000000-0005-0000-0000-0000780B0000}"/>
    <cellStyle name="Normale 3 2 4 2" xfId="3317" xr:uid="{00000000-0005-0000-0000-0000790B0000}"/>
    <cellStyle name="Normale 3 2 5" xfId="3318" xr:uid="{00000000-0005-0000-0000-00007A0B0000}"/>
    <cellStyle name="Normale 3 3" xfId="2167" xr:uid="{00000000-0005-0000-0000-000047090000}"/>
    <cellStyle name="Normale 3 3 2" xfId="2672" xr:uid="{00000000-0005-0000-0000-000048090000}"/>
    <cellStyle name="Normale 3 4" xfId="2165" xr:uid="{00000000-0005-0000-0000-000049090000}"/>
    <cellStyle name="Normale 3 5" xfId="2673" xr:uid="{00000000-0005-0000-0000-00004A090000}"/>
    <cellStyle name="Normale 3 6" xfId="2674" xr:uid="{00000000-0005-0000-0000-00004B090000}"/>
    <cellStyle name="Normale 3 7" xfId="3319" xr:uid="{00000000-0005-0000-0000-0000800B0000}"/>
    <cellStyle name="Normale 3 7 2" xfId="3320" xr:uid="{00000000-0005-0000-0000-0000810B0000}"/>
    <cellStyle name="Normale 3 8" xfId="3321" xr:uid="{00000000-0005-0000-0000-0000820B0000}"/>
    <cellStyle name="Normale 4" xfId="185" xr:uid="{00000000-0005-0000-0000-00004C090000}"/>
    <cellStyle name="Normale 4 2" xfId="2168" xr:uid="{00000000-0005-0000-0000-00004D090000}"/>
    <cellStyle name="Normale 4 2 2" xfId="2675" xr:uid="{00000000-0005-0000-0000-00004E090000}"/>
    <cellStyle name="Normale 4 2 3" xfId="2676" xr:uid="{00000000-0005-0000-0000-00004F090000}"/>
    <cellStyle name="Normale 6" xfId="186" xr:uid="{00000000-0005-0000-0000-000050090000}"/>
    <cellStyle name="Normale 6 2" xfId="187" xr:uid="{00000000-0005-0000-0000-000051090000}"/>
    <cellStyle name="Normale 6 2 2" xfId="2169" xr:uid="{00000000-0005-0000-0000-000052090000}"/>
    <cellStyle name="Normale 6 2 2 2" xfId="2677" xr:uid="{00000000-0005-0000-0000-000053090000}"/>
    <cellStyle name="Normale 6 2 2 3" xfId="2678" xr:uid="{00000000-0005-0000-0000-000054090000}"/>
    <cellStyle name="Normale 6 3" xfId="2170" xr:uid="{00000000-0005-0000-0000-000055090000}"/>
    <cellStyle name="Normale 6 3 2" xfId="2679" xr:uid="{00000000-0005-0000-0000-000056090000}"/>
    <cellStyle name="Normale 6 3 3" xfId="2680" xr:uid="{00000000-0005-0000-0000-000057090000}"/>
    <cellStyle name="Normale_classe A" xfId="188" xr:uid="{00000000-0005-0000-0000-000058090000}"/>
    <cellStyle name="Normalno 2" xfId="250" xr:uid="{00000000-0005-0000-0000-000059090000}"/>
    <cellStyle name="Normalno 2 2" xfId="359" xr:uid="{00000000-0005-0000-0000-00005A090000}"/>
    <cellStyle name="Normalno 2 2 2" xfId="2779" xr:uid="{00000000-0005-0000-0000-000026010000}"/>
    <cellStyle name="Normalno 2 2 3" xfId="3322" xr:uid="{00000000-0005-0000-0000-0000930B0000}"/>
    <cellStyle name="Normalno 2 3" xfId="2754" xr:uid="{00000000-0005-0000-0000-000025010000}"/>
    <cellStyle name="Normalno 2 4" xfId="3323" xr:uid="{00000000-0005-0000-0000-0000950B0000}"/>
    <cellStyle name="Normalno 2 5" xfId="3324" xr:uid="{00000000-0005-0000-0000-0000960B0000}"/>
    <cellStyle name="Normalno 2 5 2" xfId="3430" xr:uid="{00000000-0005-0000-0000-0000EB0B0000}"/>
    <cellStyle name="Normalno 2 5 3" xfId="3431" xr:uid="{00000000-0005-0000-0000-0000EA0B0000}"/>
    <cellStyle name="Nota" xfId="189" xr:uid="{00000000-0005-0000-0000-00005B090000}"/>
    <cellStyle name="Nota 10" xfId="190" xr:uid="{00000000-0005-0000-0000-00005C090000}"/>
    <cellStyle name="Nota 10 2" xfId="2172" xr:uid="{00000000-0005-0000-0000-00005D090000}"/>
    <cellStyle name="Nota 10 3" xfId="2681" xr:uid="{00000000-0005-0000-0000-00005E090000}"/>
    <cellStyle name="Nota 10 4" xfId="3325" xr:uid="{00000000-0005-0000-0000-00009B0B0000}"/>
    <cellStyle name="Nota 10 4 2" xfId="3326" xr:uid="{00000000-0005-0000-0000-00009C0B0000}"/>
    <cellStyle name="Nota 10 5" xfId="3327" xr:uid="{00000000-0005-0000-0000-00009D0B0000}"/>
    <cellStyle name="Nota 11" xfId="191" xr:uid="{00000000-0005-0000-0000-00005F090000}"/>
    <cellStyle name="Nota 11 2" xfId="2173" xr:uid="{00000000-0005-0000-0000-000060090000}"/>
    <cellStyle name="Nota 11 3" xfId="2682" xr:uid="{00000000-0005-0000-0000-000061090000}"/>
    <cellStyle name="Nota 11 4" xfId="3328" xr:uid="{00000000-0005-0000-0000-0000A10B0000}"/>
    <cellStyle name="Nota 11 4 2" xfId="3329" xr:uid="{00000000-0005-0000-0000-0000A20B0000}"/>
    <cellStyle name="Nota 11 5" xfId="3330" xr:uid="{00000000-0005-0000-0000-0000A30B0000}"/>
    <cellStyle name="Nota 12" xfId="192" xr:uid="{00000000-0005-0000-0000-000062090000}"/>
    <cellStyle name="Nota 12 2" xfId="2174" xr:uid="{00000000-0005-0000-0000-000063090000}"/>
    <cellStyle name="Nota 12 3" xfId="2683" xr:uid="{00000000-0005-0000-0000-000064090000}"/>
    <cellStyle name="Nota 12 4" xfId="3331" xr:uid="{00000000-0005-0000-0000-0000A70B0000}"/>
    <cellStyle name="Nota 12 4 2" xfId="3332" xr:uid="{00000000-0005-0000-0000-0000A80B0000}"/>
    <cellStyle name="Nota 12 5" xfId="3333" xr:uid="{00000000-0005-0000-0000-0000A90B0000}"/>
    <cellStyle name="Nota 13" xfId="193" xr:uid="{00000000-0005-0000-0000-000065090000}"/>
    <cellStyle name="Nota 13 2" xfId="2175" xr:uid="{00000000-0005-0000-0000-000066090000}"/>
    <cellStyle name="Nota 13 3" xfId="2684" xr:uid="{00000000-0005-0000-0000-000067090000}"/>
    <cellStyle name="Nota 13 4" xfId="3334" xr:uid="{00000000-0005-0000-0000-0000AD0B0000}"/>
    <cellStyle name="Nota 13 4 2" xfId="3335" xr:uid="{00000000-0005-0000-0000-0000AE0B0000}"/>
    <cellStyle name="Nota 13 5" xfId="3336" xr:uid="{00000000-0005-0000-0000-0000AF0B0000}"/>
    <cellStyle name="Nota 14" xfId="194" xr:uid="{00000000-0005-0000-0000-000068090000}"/>
    <cellStyle name="Nota 14 2" xfId="2176" xr:uid="{00000000-0005-0000-0000-000069090000}"/>
    <cellStyle name="Nota 14 3" xfId="2685" xr:uid="{00000000-0005-0000-0000-00006A090000}"/>
    <cellStyle name="Nota 14 4" xfId="3337" xr:uid="{00000000-0005-0000-0000-0000B30B0000}"/>
    <cellStyle name="Nota 14 4 2" xfId="3338" xr:uid="{00000000-0005-0000-0000-0000B40B0000}"/>
    <cellStyle name="Nota 14 5" xfId="3339" xr:uid="{00000000-0005-0000-0000-0000B50B0000}"/>
    <cellStyle name="Nota 15" xfId="195" xr:uid="{00000000-0005-0000-0000-00006B090000}"/>
    <cellStyle name="Nota 15 2" xfId="2177" xr:uid="{00000000-0005-0000-0000-00006C090000}"/>
    <cellStyle name="Nota 15 3" xfId="2686" xr:uid="{00000000-0005-0000-0000-00006D090000}"/>
    <cellStyle name="Nota 15 4" xfId="3340" xr:uid="{00000000-0005-0000-0000-0000B90B0000}"/>
    <cellStyle name="Nota 15 4 2" xfId="3341" xr:uid="{00000000-0005-0000-0000-0000BA0B0000}"/>
    <cellStyle name="Nota 15 5" xfId="3342" xr:uid="{00000000-0005-0000-0000-0000BB0B0000}"/>
    <cellStyle name="Nota 16" xfId="315" xr:uid="{00000000-0005-0000-0000-00006E090000}"/>
    <cellStyle name="Nota 16 2" xfId="2178" xr:uid="{00000000-0005-0000-0000-00006F090000}"/>
    <cellStyle name="Nota 16 2 2" xfId="2687" xr:uid="{00000000-0005-0000-0000-000070090000}"/>
    <cellStyle name="Nota 16 3" xfId="2688" xr:uid="{00000000-0005-0000-0000-000071090000}"/>
    <cellStyle name="Nota 16 4" xfId="3343" xr:uid="{00000000-0005-0000-0000-0000C00B0000}"/>
    <cellStyle name="Nota 16 4 2" xfId="3344" xr:uid="{00000000-0005-0000-0000-0000C10B0000}"/>
    <cellStyle name="Nota 16 5" xfId="3345" xr:uid="{00000000-0005-0000-0000-0000C20B0000}"/>
    <cellStyle name="Nota 17" xfId="2179" xr:uid="{00000000-0005-0000-0000-000072090000}"/>
    <cellStyle name="Nota 17 2" xfId="2689" xr:uid="{00000000-0005-0000-0000-000073090000}"/>
    <cellStyle name="Nota 18" xfId="2171" xr:uid="{00000000-0005-0000-0000-000074090000}"/>
    <cellStyle name="Nota 19" xfId="2690" xr:uid="{00000000-0005-0000-0000-000075090000}"/>
    <cellStyle name="Nota 2" xfId="196" xr:uid="{00000000-0005-0000-0000-000076090000}"/>
    <cellStyle name="Nota 2 2" xfId="2180" xr:uid="{00000000-0005-0000-0000-000077090000}"/>
    <cellStyle name="Nota 2 3" xfId="2691" xr:uid="{00000000-0005-0000-0000-000078090000}"/>
    <cellStyle name="Nota 2 4" xfId="3346" xr:uid="{00000000-0005-0000-0000-0000CA0B0000}"/>
    <cellStyle name="Nota 2 4 2" xfId="3347" xr:uid="{00000000-0005-0000-0000-0000CB0B0000}"/>
    <cellStyle name="Nota 2 5" xfId="3348" xr:uid="{00000000-0005-0000-0000-0000CC0B0000}"/>
    <cellStyle name="Nota 20" xfId="2692" xr:uid="{00000000-0005-0000-0000-000079090000}"/>
    <cellStyle name="Nota 21" xfId="3349" xr:uid="{00000000-0005-0000-0000-0000CE0B0000}"/>
    <cellStyle name="Nota 21 2" xfId="3350" xr:uid="{00000000-0005-0000-0000-0000CF0B0000}"/>
    <cellStyle name="Nota 22" xfId="3351" xr:uid="{00000000-0005-0000-0000-0000D00B0000}"/>
    <cellStyle name="Nota 3" xfId="197" xr:uid="{00000000-0005-0000-0000-00007A090000}"/>
    <cellStyle name="Nota 3 2" xfId="2181" xr:uid="{00000000-0005-0000-0000-00007B090000}"/>
    <cellStyle name="Nota 3 3" xfId="2693" xr:uid="{00000000-0005-0000-0000-00007C090000}"/>
    <cellStyle name="Nota 3 4" xfId="3352" xr:uid="{00000000-0005-0000-0000-0000D40B0000}"/>
    <cellStyle name="Nota 3 4 2" xfId="3353" xr:uid="{00000000-0005-0000-0000-0000D50B0000}"/>
    <cellStyle name="Nota 3 5" xfId="3354" xr:uid="{00000000-0005-0000-0000-0000D60B0000}"/>
    <cellStyle name="Nota 4" xfId="198" xr:uid="{00000000-0005-0000-0000-00007D090000}"/>
    <cellStyle name="Nota 4 2" xfId="2182" xr:uid="{00000000-0005-0000-0000-00007E090000}"/>
    <cellStyle name="Nota 4 3" xfId="2694" xr:uid="{00000000-0005-0000-0000-00007F090000}"/>
    <cellStyle name="Nota 4 4" xfId="3355" xr:uid="{00000000-0005-0000-0000-0000DA0B0000}"/>
    <cellStyle name="Nota 4 4 2" xfId="3356" xr:uid="{00000000-0005-0000-0000-0000DB0B0000}"/>
    <cellStyle name="Nota 4 5" xfId="3357" xr:uid="{00000000-0005-0000-0000-0000DC0B0000}"/>
    <cellStyle name="Nota 5" xfId="199" xr:uid="{00000000-0005-0000-0000-000080090000}"/>
    <cellStyle name="Nota 5 2" xfId="2183" xr:uid="{00000000-0005-0000-0000-000081090000}"/>
    <cellStyle name="Nota 5 3" xfId="2695" xr:uid="{00000000-0005-0000-0000-000082090000}"/>
    <cellStyle name="Nota 5 4" xfId="3358" xr:uid="{00000000-0005-0000-0000-0000E00B0000}"/>
    <cellStyle name="Nota 5 4 2" xfId="3359" xr:uid="{00000000-0005-0000-0000-0000E10B0000}"/>
    <cellStyle name="Nota 5 5" xfId="3360" xr:uid="{00000000-0005-0000-0000-0000E20B0000}"/>
    <cellStyle name="Nota 6" xfId="200" xr:uid="{00000000-0005-0000-0000-000083090000}"/>
    <cellStyle name="Nota 6 2" xfId="2184" xr:uid="{00000000-0005-0000-0000-000084090000}"/>
    <cellStyle name="Nota 6 3" xfId="2696" xr:uid="{00000000-0005-0000-0000-000085090000}"/>
    <cellStyle name="Nota 6 4" xfId="3361" xr:uid="{00000000-0005-0000-0000-0000E60B0000}"/>
    <cellStyle name="Nota 6 4 2" xfId="3362" xr:uid="{00000000-0005-0000-0000-0000E70B0000}"/>
    <cellStyle name="Nota 6 5" xfId="3363" xr:uid="{00000000-0005-0000-0000-0000E80B0000}"/>
    <cellStyle name="Nota 7" xfId="201" xr:uid="{00000000-0005-0000-0000-000086090000}"/>
    <cellStyle name="Nota 7 2" xfId="2185" xr:uid="{00000000-0005-0000-0000-000087090000}"/>
    <cellStyle name="Nota 7 3" xfId="2697" xr:uid="{00000000-0005-0000-0000-000088090000}"/>
    <cellStyle name="Nota 7 4" xfId="3364" xr:uid="{00000000-0005-0000-0000-0000EC0B0000}"/>
    <cellStyle name="Nota 7 4 2" xfId="3365" xr:uid="{00000000-0005-0000-0000-0000ED0B0000}"/>
    <cellStyle name="Nota 7 5" xfId="3366" xr:uid="{00000000-0005-0000-0000-0000EE0B0000}"/>
    <cellStyle name="Nota 8" xfId="202" xr:uid="{00000000-0005-0000-0000-000089090000}"/>
    <cellStyle name="Nota 8 2" xfId="2186" xr:uid="{00000000-0005-0000-0000-00008A090000}"/>
    <cellStyle name="Nota 8 3" xfId="2698" xr:uid="{00000000-0005-0000-0000-00008B090000}"/>
    <cellStyle name="Nota 8 4" xfId="3367" xr:uid="{00000000-0005-0000-0000-0000F20B0000}"/>
    <cellStyle name="Nota 8 4 2" xfId="3368" xr:uid="{00000000-0005-0000-0000-0000F30B0000}"/>
    <cellStyle name="Nota 8 5" xfId="3369" xr:uid="{00000000-0005-0000-0000-0000F40B0000}"/>
    <cellStyle name="Nota 9" xfId="203" xr:uid="{00000000-0005-0000-0000-00008C090000}"/>
    <cellStyle name="Nota 9 2" xfId="2187" xr:uid="{00000000-0005-0000-0000-00008D090000}"/>
    <cellStyle name="Nota 9 3" xfId="2699" xr:uid="{00000000-0005-0000-0000-00008E090000}"/>
    <cellStyle name="Nota 9 4" xfId="3370" xr:uid="{00000000-0005-0000-0000-0000F80B0000}"/>
    <cellStyle name="Nota 9 4 2" xfId="3371" xr:uid="{00000000-0005-0000-0000-0000F90B0000}"/>
    <cellStyle name="Nota 9 5" xfId="3372" xr:uid="{00000000-0005-0000-0000-0000FA0B0000}"/>
    <cellStyle name="Note 2" xfId="233" xr:uid="{00000000-0005-0000-0000-00008F090000}"/>
    <cellStyle name="Note 2 10" xfId="2189" xr:uid="{00000000-0005-0000-0000-000090090000}"/>
    <cellStyle name="Note 2 11" xfId="2190" xr:uid="{00000000-0005-0000-0000-000091090000}"/>
    <cellStyle name="Note 2 12" xfId="2191" xr:uid="{00000000-0005-0000-0000-000092090000}"/>
    <cellStyle name="Note 2 13" xfId="2192" xr:uid="{00000000-0005-0000-0000-000093090000}"/>
    <cellStyle name="Note 2 14" xfId="2193" xr:uid="{00000000-0005-0000-0000-000094090000}"/>
    <cellStyle name="Note 2 15" xfId="2194" xr:uid="{00000000-0005-0000-0000-000095090000}"/>
    <cellStyle name="Note 2 16" xfId="2195" xr:uid="{00000000-0005-0000-0000-000096090000}"/>
    <cellStyle name="Note 2 17" xfId="2196" xr:uid="{00000000-0005-0000-0000-000097090000}"/>
    <cellStyle name="Note 2 18" xfId="2188" xr:uid="{00000000-0005-0000-0000-000098090000}"/>
    <cellStyle name="Note 2 19" xfId="2700" xr:uid="{00000000-0005-0000-0000-000099090000}"/>
    <cellStyle name="Note 2 2" xfId="358" xr:uid="{00000000-0005-0000-0000-00009A090000}"/>
    <cellStyle name="Note 2 2 2" xfId="2197" xr:uid="{00000000-0005-0000-0000-00009B090000}"/>
    <cellStyle name="Note 2 2 3" xfId="2778" xr:uid="{00000000-0005-0000-0000-000038010000}"/>
    <cellStyle name="Note 2 2 3 2" xfId="3375" xr:uid="{00000000-0005-0000-0000-0000090C0000}"/>
    <cellStyle name="Note 2 2 3 2 2" xfId="3376" xr:uid="{00000000-0005-0000-0000-00000A0C0000}"/>
    <cellStyle name="Note 2 2 3 3" xfId="3377" xr:uid="{00000000-0005-0000-0000-00000B0C0000}"/>
    <cellStyle name="Note 2 2 3 4" xfId="3378" xr:uid="{00000000-0005-0000-0000-00000C0C0000}"/>
    <cellStyle name="Note 2 2 3 5" xfId="3374" xr:uid="{00000000-0005-0000-0000-0000080C0000}"/>
    <cellStyle name="Note 2 2 4" xfId="3379" xr:uid="{00000000-0005-0000-0000-00000D0C0000}"/>
    <cellStyle name="Note 2 2 4 2" xfId="3380" xr:uid="{00000000-0005-0000-0000-00000E0C0000}"/>
    <cellStyle name="Note 2 2 5" xfId="3381" xr:uid="{00000000-0005-0000-0000-00000F0C0000}"/>
    <cellStyle name="Note 2 2 5 2" xfId="3382" xr:uid="{00000000-0005-0000-0000-0000100C0000}"/>
    <cellStyle name="Note 2 2 6" xfId="3383" xr:uid="{00000000-0005-0000-0000-0000110C0000}"/>
    <cellStyle name="Note 2 2 7" xfId="3384" xr:uid="{00000000-0005-0000-0000-0000120C0000}"/>
    <cellStyle name="Note 2 2 8" xfId="3373" xr:uid="{00000000-0005-0000-0000-0000060C0000}"/>
    <cellStyle name="Note 2 20" xfId="2753" xr:uid="{00000000-0005-0000-0000-000037010000}"/>
    <cellStyle name="Note 2 20 2" xfId="3386" xr:uid="{00000000-0005-0000-0000-0000140C0000}"/>
    <cellStyle name="Note 2 20 2 2" xfId="3387" xr:uid="{00000000-0005-0000-0000-0000150C0000}"/>
    <cellStyle name="Note 2 20 3" xfId="3388" xr:uid="{00000000-0005-0000-0000-0000160C0000}"/>
    <cellStyle name="Note 2 20 4" xfId="3389" xr:uid="{00000000-0005-0000-0000-0000170C0000}"/>
    <cellStyle name="Note 2 20 5" xfId="3385" xr:uid="{00000000-0005-0000-0000-0000130C0000}"/>
    <cellStyle name="Note 2 21" xfId="3390" xr:uid="{00000000-0005-0000-0000-0000180C0000}"/>
    <cellStyle name="Note 2 21 2" xfId="3391" xr:uid="{00000000-0005-0000-0000-0000190C0000}"/>
    <cellStyle name="Note 2 22" xfId="3392" xr:uid="{00000000-0005-0000-0000-00001A0C0000}"/>
    <cellStyle name="Note 2 22 2" xfId="3393" xr:uid="{00000000-0005-0000-0000-00001B0C0000}"/>
    <cellStyle name="Note 2 23" xfId="3394" xr:uid="{00000000-0005-0000-0000-00001C0C0000}"/>
    <cellStyle name="Note 2 3" xfId="2198" xr:uid="{00000000-0005-0000-0000-00009C090000}"/>
    <cellStyle name="Note 2 4" xfId="2199" xr:uid="{00000000-0005-0000-0000-00009D090000}"/>
    <cellStyle name="Note 2 5" xfId="2200" xr:uid="{00000000-0005-0000-0000-00009E090000}"/>
    <cellStyle name="Note 2 6" xfId="2201" xr:uid="{00000000-0005-0000-0000-00009F090000}"/>
    <cellStyle name="Note 2 7" xfId="2202" xr:uid="{00000000-0005-0000-0000-0000A0090000}"/>
    <cellStyle name="Note 2 8" xfId="2203" xr:uid="{00000000-0005-0000-0000-0000A1090000}"/>
    <cellStyle name="Note 2 9" xfId="2204" xr:uid="{00000000-0005-0000-0000-0000A2090000}"/>
    <cellStyle name="Note 3 10" xfId="2205" xr:uid="{00000000-0005-0000-0000-0000A3090000}"/>
    <cellStyle name="Note 3 11" xfId="2206" xr:uid="{00000000-0005-0000-0000-0000A4090000}"/>
    <cellStyle name="Note 3 12" xfId="2207" xr:uid="{00000000-0005-0000-0000-0000A5090000}"/>
    <cellStyle name="Note 3 13" xfId="2208" xr:uid="{00000000-0005-0000-0000-0000A6090000}"/>
    <cellStyle name="Note 3 14" xfId="2209" xr:uid="{00000000-0005-0000-0000-0000A7090000}"/>
    <cellStyle name="Note 3 15" xfId="2210" xr:uid="{00000000-0005-0000-0000-0000A8090000}"/>
    <cellStyle name="Note 3 16" xfId="2211" xr:uid="{00000000-0005-0000-0000-0000A9090000}"/>
    <cellStyle name="Note 3 17" xfId="2212" xr:uid="{00000000-0005-0000-0000-0000AA090000}"/>
    <cellStyle name="Note 3 2" xfId="2213" xr:uid="{00000000-0005-0000-0000-0000AB090000}"/>
    <cellStyle name="Note 3 3" xfId="2214" xr:uid="{00000000-0005-0000-0000-0000AC090000}"/>
    <cellStyle name="Note 3 4" xfId="2215" xr:uid="{00000000-0005-0000-0000-0000AD090000}"/>
    <cellStyle name="Note 3 5" xfId="2216" xr:uid="{00000000-0005-0000-0000-0000AE090000}"/>
    <cellStyle name="Note 3 6" xfId="2217" xr:uid="{00000000-0005-0000-0000-0000AF090000}"/>
    <cellStyle name="Note 3 7" xfId="2218" xr:uid="{00000000-0005-0000-0000-0000B0090000}"/>
    <cellStyle name="Note 3 8" xfId="2219" xr:uid="{00000000-0005-0000-0000-0000B1090000}"/>
    <cellStyle name="Note 3 9" xfId="2220" xr:uid="{00000000-0005-0000-0000-0000B2090000}"/>
    <cellStyle name="Output 2" xfId="44" xr:uid="{00000000-0005-0000-0000-0000B3090000}"/>
    <cellStyle name="Output 2 10" xfId="2221" xr:uid="{00000000-0005-0000-0000-0000B4090000}"/>
    <cellStyle name="Output 2 11" xfId="2222" xr:uid="{00000000-0005-0000-0000-0000B5090000}"/>
    <cellStyle name="Output 2 12" xfId="2223" xr:uid="{00000000-0005-0000-0000-0000B6090000}"/>
    <cellStyle name="Output 2 13" xfId="2224" xr:uid="{00000000-0005-0000-0000-0000B7090000}"/>
    <cellStyle name="Output 2 14" xfId="2225" xr:uid="{00000000-0005-0000-0000-0000B8090000}"/>
    <cellStyle name="Output 2 15" xfId="2226" xr:uid="{00000000-0005-0000-0000-0000B9090000}"/>
    <cellStyle name="Output 2 16" xfId="2227" xr:uid="{00000000-0005-0000-0000-0000BA090000}"/>
    <cellStyle name="Output 2 17" xfId="2228" xr:uid="{00000000-0005-0000-0000-0000BB090000}"/>
    <cellStyle name="Output 2 18" xfId="2229" xr:uid="{00000000-0005-0000-0000-0000BC090000}"/>
    <cellStyle name="Output 2 19" xfId="2230" xr:uid="{00000000-0005-0000-0000-0000BD090000}"/>
    <cellStyle name="Output 2 2" xfId="2231" xr:uid="{00000000-0005-0000-0000-0000BE090000}"/>
    <cellStyle name="Output 2 20" xfId="2701" xr:uid="{00000000-0005-0000-0000-0000BF090000}"/>
    <cellStyle name="Output 2 3" xfId="2232" xr:uid="{00000000-0005-0000-0000-0000C0090000}"/>
    <cellStyle name="Output 2 4" xfId="2233" xr:uid="{00000000-0005-0000-0000-0000C1090000}"/>
    <cellStyle name="Output 2 5" xfId="2234" xr:uid="{00000000-0005-0000-0000-0000C2090000}"/>
    <cellStyle name="Output 2 6" xfId="2235" xr:uid="{00000000-0005-0000-0000-0000C3090000}"/>
    <cellStyle name="Output 2 7" xfId="2236" xr:uid="{00000000-0005-0000-0000-0000C4090000}"/>
    <cellStyle name="Output 2 8" xfId="2237" xr:uid="{00000000-0005-0000-0000-0000C5090000}"/>
    <cellStyle name="Output 2 9" xfId="2238" xr:uid="{00000000-0005-0000-0000-0000C6090000}"/>
    <cellStyle name="Output 3" xfId="241" xr:uid="{00000000-0005-0000-0000-0000C7090000}"/>
    <cellStyle name="Output 3 10" xfId="2239" xr:uid="{00000000-0005-0000-0000-0000C8090000}"/>
    <cellStyle name="Output 3 11" xfId="2240" xr:uid="{00000000-0005-0000-0000-0000C9090000}"/>
    <cellStyle name="Output 3 12" xfId="2241" xr:uid="{00000000-0005-0000-0000-0000CA090000}"/>
    <cellStyle name="Output 3 13" xfId="2242" xr:uid="{00000000-0005-0000-0000-0000CB090000}"/>
    <cellStyle name="Output 3 14" xfId="2243" xr:uid="{00000000-0005-0000-0000-0000CC090000}"/>
    <cellStyle name="Output 3 15" xfId="2244" xr:uid="{00000000-0005-0000-0000-0000CD090000}"/>
    <cellStyle name="Output 3 16" xfId="2245" xr:uid="{00000000-0005-0000-0000-0000CE090000}"/>
    <cellStyle name="Output 3 17" xfId="2246" xr:uid="{00000000-0005-0000-0000-0000CF090000}"/>
    <cellStyle name="Output 3 2" xfId="2247" xr:uid="{00000000-0005-0000-0000-0000D0090000}"/>
    <cellStyle name="Output 3 3" xfId="2248" xr:uid="{00000000-0005-0000-0000-0000D1090000}"/>
    <cellStyle name="Output 3 4" xfId="2249" xr:uid="{00000000-0005-0000-0000-0000D2090000}"/>
    <cellStyle name="Output 3 5" xfId="2250" xr:uid="{00000000-0005-0000-0000-0000D3090000}"/>
    <cellStyle name="Output 3 6" xfId="2251" xr:uid="{00000000-0005-0000-0000-0000D4090000}"/>
    <cellStyle name="Output 3 7" xfId="2252" xr:uid="{00000000-0005-0000-0000-0000D5090000}"/>
    <cellStyle name="Output 3 8" xfId="2253" xr:uid="{00000000-0005-0000-0000-0000D6090000}"/>
    <cellStyle name="Output 3 9" xfId="2254" xr:uid="{00000000-0005-0000-0000-0000D7090000}"/>
    <cellStyle name="Output 4" xfId="284" xr:uid="{00000000-0005-0000-0000-0000D8090000}"/>
    <cellStyle name="Percent 2" xfId="265" xr:uid="{00000000-0005-0000-0000-0000DA090000}"/>
    <cellStyle name="Percent 2 10" xfId="2256" xr:uid="{00000000-0005-0000-0000-0000DB090000}"/>
    <cellStyle name="Percent 2 11" xfId="2257" xr:uid="{00000000-0005-0000-0000-0000DC090000}"/>
    <cellStyle name="Percent 2 12" xfId="2258" xr:uid="{00000000-0005-0000-0000-0000DD090000}"/>
    <cellStyle name="Percent 2 12 2" xfId="2259" xr:uid="{00000000-0005-0000-0000-0000DE090000}"/>
    <cellStyle name="Percent 2 12 3" xfId="2260" xr:uid="{00000000-0005-0000-0000-0000DF090000}"/>
    <cellStyle name="Percent 2 13" xfId="336" xr:uid="{00000000-0005-0000-0000-0000E0090000}"/>
    <cellStyle name="Percent 2 13 2" xfId="2262" xr:uid="{00000000-0005-0000-0000-0000E1090000}"/>
    <cellStyle name="Percent 2 13 2 2" xfId="2702" xr:uid="{00000000-0005-0000-0000-0000E2090000}"/>
    <cellStyle name="Percent 2 13 2 3" xfId="3395" xr:uid="{00000000-0005-0000-0000-0000630C0000}"/>
    <cellStyle name="Percent 2 13 2 3 2" xfId="3396" xr:uid="{00000000-0005-0000-0000-0000640C0000}"/>
    <cellStyle name="Percent 2 13 2 4" xfId="3397" xr:uid="{00000000-0005-0000-0000-0000650C0000}"/>
    <cellStyle name="Percent 2 13 3" xfId="2261" xr:uid="{00000000-0005-0000-0000-0000E3090000}"/>
    <cellStyle name="Percent 2 13 4" xfId="3398" xr:uid="{00000000-0005-0000-0000-0000670C0000}"/>
    <cellStyle name="Percent 2 13 4 2" xfId="3399" xr:uid="{00000000-0005-0000-0000-0000680C0000}"/>
    <cellStyle name="Percent 2 13 5" xfId="3400" xr:uid="{00000000-0005-0000-0000-0000690C0000}"/>
    <cellStyle name="Percent 2 14" xfId="2255" xr:uid="{00000000-0005-0000-0000-0000E4090000}"/>
    <cellStyle name="Percent 2 15" xfId="3401" xr:uid="{00000000-0005-0000-0000-00006B0C0000}"/>
    <cellStyle name="Percent 2 16" xfId="3402" xr:uid="{00000000-0005-0000-0000-00006C0C0000}"/>
    <cellStyle name="Percent 2 2" xfId="335" xr:uid="{00000000-0005-0000-0000-0000E5090000}"/>
    <cellStyle name="Percent 2 2 2" xfId="2264" xr:uid="{00000000-0005-0000-0000-0000E6090000}"/>
    <cellStyle name="Percent 2 2 2 2" xfId="2265" xr:uid="{00000000-0005-0000-0000-0000E7090000}"/>
    <cellStyle name="Percent 2 2 2 2 2" xfId="2703" xr:uid="{00000000-0005-0000-0000-0000E8090000}"/>
    <cellStyle name="Percent 2 2 2 3" xfId="2425" xr:uid="{00000000-0005-0000-0000-0000E9090000}"/>
    <cellStyle name="Percent 2 2 2 3 2" xfId="3404" xr:uid="{00000000-0005-0000-0000-0000720C0000}"/>
    <cellStyle name="Percent 2 2 2 3 2 2" xfId="3405" xr:uid="{00000000-0005-0000-0000-0000730C0000}"/>
    <cellStyle name="Percent 2 2 2 3 3" xfId="3406" xr:uid="{00000000-0005-0000-0000-0000740C0000}"/>
    <cellStyle name="Percent 2 2 2 3 4" xfId="3407" xr:uid="{00000000-0005-0000-0000-0000750C0000}"/>
    <cellStyle name="Percent 2 2 2 3 5" xfId="3403" xr:uid="{00000000-0005-0000-0000-0000710C0000}"/>
    <cellStyle name="Percent 2 2 3" xfId="2263" xr:uid="{00000000-0005-0000-0000-0000EA090000}"/>
    <cellStyle name="Percent 2 2 3 2" xfId="3429" xr:uid="{00000000-0005-0000-0000-0000ED0B0000}"/>
    <cellStyle name="Percent 2 2 4" xfId="2704" xr:uid="{00000000-0005-0000-0000-0000EB090000}"/>
    <cellStyle name="Percent 2 2 5" xfId="3408" xr:uid="{00000000-0005-0000-0000-0000780C0000}"/>
    <cellStyle name="Percent 2 2 5 2" xfId="3409" xr:uid="{00000000-0005-0000-0000-0000790C0000}"/>
    <cellStyle name="Percent 2 2 6" xfId="3410" xr:uid="{00000000-0005-0000-0000-00007A0C0000}"/>
    <cellStyle name="Percent 2 3" xfId="2266" xr:uid="{00000000-0005-0000-0000-0000EC090000}"/>
    <cellStyle name="Percent 2 3 2" xfId="2267" xr:uid="{00000000-0005-0000-0000-0000ED090000}"/>
    <cellStyle name="Percent 2 3 3" xfId="3428" xr:uid="{00000000-0005-0000-0000-0000EF0B0000}"/>
    <cellStyle name="Percent 2 4" xfId="2268" xr:uid="{00000000-0005-0000-0000-0000EE090000}"/>
    <cellStyle name="Percent 2 5" xfId="2269" xr:uid="{00000000-0005-0000-0000-0000EF090000}"/>
    <cellStyle name="Percent 2 6" xfId="2270" xr:uid="{00000000-0005-0000-0000-0000F0090000}"/>
    <cellStyle name="Percent 2 7" xfId="2271" xr:uid="{00000000-0005-0000-0000-0000F1090000}"/>
    <cellStyle name="Percent 2 8" xfId="2272" xr:uid="{00000000-0005-0000-0000-0000F2090000}"/>
    <cellStyle name="Percent 2 9" xfId="2273" xr:uid="{00000000-0005-0000-0000-0000F3090000}"/>
    <cellStyle name="Percent 3" xfId="2274" xr:uid="{00000000-0005-0000-0000-0000F4090000}"/>
    <cellStyle name="Percent 3 2" xfId="2275" xr:uid="{00000000-0005-0000-0000-0000F5090000}"/>
    <cellStyle name="Percent 3 2 2" xfId="2705" xr:uid="{00000000-0005-0000-0000-0000F6090000}"/>
    <cellStyle name="Percent 3 3" xfId="3427" xr:uid="{00000000-0005-0000-0000-0000F00B0000}"/>
    <cellStyle name="Percent 4" xfId="266" xr:uid="{00000000-0005-0000-0000-0000F7090000}"/>
    <cellStyle name="Percent 4 2" xfId="333" xr:uid="{00000000-0005-0000-0000-0000F8090000}"/>
    <cellStyle name="Percent 4 2 2" xfId="2276" xr:uid="{00000000-0005-0000-0000-0000F9090000}"/>
    <cellStyle name="Percent 4 3" xfId="2277" xr:uid="{00000000-0005-0000-0000-0000FA090000}"/>
    <cellStyle name="Percent 4 4" xfId="2278" xr:uid="{00000000-0005-0000-0000-0000FB090000}"/>
    <cellStyle name="Percent 4 4 2" xfId="2706" xr:uid="{00000000-0005-0000-0000-0000FC090000}"/>
    <cellStyle name="Percent 4 5" xfId="2707" xr:uid="{00000000-0005-0000-0000-0000FD090000}"/>
    <cellStyle name="Percent 4 6" xfId="3411" xr:uid="{00000000-0005-0000-0000-00008D0C0000}"/>
    <cellStyle name="Percent 4 6 2" xfId="3412" xr:uid="{00000000-0005-0000-0000-00008E0C0000}"/>
    <cellStyle name="Percent 4 7" xfId="3413" xr:uid="{00000000-0005-0000-0000-00008F0C0000}"/>
    <cellStyle name="Percent 4 7 2" xfId="3414" xr:uid="{00000000-0005-0000-0000-0000900C0000}"/>
    <cellStyle name="Percent 4 8" xfId="3415" xr:uid="{00000000-0005-0000-0000-0000910C0000}"/>
    <cellStyle name="Percent 5" xfId="2279" xr:uid="{00000000-0005-0000-0000-0000FE090000}"/>
    <cellStyle name="Percent 5 2" xfId="2280" xr:uid="{00000000-0005-0000-0000-0000FF090000}"/>
    <cellStyle name="Percent 5 2 2" xfId="2708" xr:uid="{00000000-0005-0000-0000-0000000A0000}"/>
    <cellStyle name="Percent 5 2 3" xfId="3416" xr:uid="{00000000-0005-0000-0000-0000950C0000}"/>
    <cellStyle name="Percent 5 2 3 2" xfId="3417" xr:uid="{00000000-0005-0000-0000-0000960C0000}"/>
    <cellStyle name="Percent 5 2 4" xfId="3418" xr:uid="{00000000-0005-0000-0000-0000970C0000}"/>
    <cellStyle name="Percent 5 3" xfId="2709" xr:uid="{00000000-0005-0000-0000-0000010A0000}"/>
    <cellStyle name="Percent 5 4" xfId="3426" xr:uid="{00000000-0005-0000-0000-0000F10B0000}"/>
    <cellStyle name="Percent 6" xfId="2281" xr:uid="{00000000-0005-0000-0000-0000020A0000}"/>
    <cellStyle name="Percent 7" xfId="2282" xr:uid="{00000000-0005-0000-0000-0000030A0000}"/>
    <cellStyle name="Percent 7 2" xfId="2710" xr:uid="{00000000-0005-0000-0000-0000040A0000}"/>
    <cellStyle name="Percent 8" xfId="2283" xr:uid="{00000000-0005-0000-0000-0000050A0000}"/>
    <cellStyle name="Percent 8 2" xfId="2712" xr:uid="{00000000-0005-0000-0000-0000060A0000}"/>
    <cellStyle name="Percent 8 3" xfId="2713" xr:uid="{00000000-0005-0000-0000-0000070A0000}"/>
    <cellStyle name="Percent 8 4" xfId="2711" xr:uid="{00000000-0005-0000-0000-0000080A0000}"/>
    <cellStyle name="Percent 8 5" xfId="3419" xr:uid="{00000000-0005-0000-0000-0000A00C0000}"/>
    <cellStyle name="Percent 8 5 2" xfId="3420" xr:uid="{00000000-0005-0000-0000-0000A10C0000}"/>
    <cellStyle name="Percent 8 6" xfId="3421" xr:uid="{00000000-0005-0000-0000-0000A20C0000}"/>
    <cellStyle name="Percent 9" xfId="3422" xr:uid="{00000000-0005-0000-0000-0000A30C0000}"/>
    <cellStyle name="Percent 9 2" xfId="3423" xr:uid="{00000000-0005-0000-0000-0000A40C0000}"/>
    <cellStyle name="Testo avviso" xfId="204" xr:uid="{00000000-0005-0000-0000-0000090A0000}"/>
    <cellStyle name="Testo avviso 2" xfId="316" xr:uid="{00000000-0005-0000-0000-00000A0A0000}"/>
    <cellStyle name="Testo avviso 2 2" xfId="2284" xr:uid="{00000000-0005-0000-0000-00000B0A0000}"/>
    <cellStyle name="Testo avviso 2 2 2" xfId="2714" xr:uid="{00000000-0005-0000-0000-00000C0A0000}"/>
    <cellStyle name="Testo avviso 3" xfId="2285" xr:uid="{00000000-0005-0000-0000-00000D0A0000}"/>
    <cellStyle name="Testo avviso 4" xfId="2715" xr:uid="{00000000-0005-0000-0000-00000E0A0000}"/>
    <cellStyle name="Testo descrittivo" xfId="205" xr:uid="{00000000-0005-0000-0000-00000F0A0000}"/>
    <cellStyle name="Testo descrittivo 2" xfId="317" xr:uid="{00000000-0005-0000-0000-0000100A0000}"/>
    <cellStyle name="Testo descrittivo 2 2" xfId="2286" xr:uid="{00000000-0005-0000-0000-0000110A0000}"/>
    <cellStyle name="Testo descrittivo 2 2 2" xfId="2716" xr:uid="{00000000-0005-0000-0000-0000120A0000}"/>
    <cellStyle name="Testo descrittivo 3" xfId="2287" xr:uid="{00000000-0005-0000-0000-0000130A0000}"/>
    <cellStyle name="Testo descrittivo 4" xfId="2717" xr:uid="{00000000-0005-0000-0000-0000140A0000}"/>
    <cellStyle name="Title 2" xfId="244" xr:uid="{00000000-0005-0000-0000-0000150A0000}"/>
    <cellStyle name="Title 2 10" xfId="2289" xr:uid="{00000000-0005-0000-0000-0000160A0000}"/>
    <cellStyle name="Title 2 11" xfId="2290" xr:uid="{00000000-0005-0000-0000-0000170A0000}"/>
    <cellStyle name="Title 2 12" xfId="2291" xr:uid="{00000000-0005-0000-0000-0000180A0000}"/>
    <cellStyle name="Title 2 13" xfId="2292" xr:uid="{00000000-0005-0000-0000-0000190A0000}"/>
    <cellStyle name="Title 2 14" xfId="2293" xr:uid="{00000000-0005-0000-0000-00001A0A0000}"/>
    <cellStyle name="Title 2 15" xfId="2294" xr:uid="{00000000-0005-0000-0000-00001B0A0000}"/>
    <cellStyle name="Title 2 16" xfId="2295" xr:uid="{00000000-0005-0000-0000-00001C0A0000}"/>
    <cellStyle name="Title 2 17" xfId="2296" xr:uid="{00000000-0005-0000-0000-00001D0A0000}"/>
    <cellStyle name="Title 2 18" xfId="2288" xr:uid="{00000000-0005-0000-0000-00001E0A0000}"/>
    <cellStyle name="Title 2 19" xfId="3424" xr:uid="{00000000-0005-0000-0000-0000BB0C0000}"/>
    <cellStyle name="Title 2 2" xfId="2297" xr:uid="{00000000-0005-0000-0000-00001F0A0000}"/>
    <cellStyle name="Title 2 20" xfId="3425" xr:uid="{00000000-0005-0000-0000-0000BD0C0000}"/>
    <cellStyle name="Title 2 3" xfId="2298" xr:uid="{00000000-0005-0000-0000-0000200A0000}"/>
    <cellStyle name="Title 2 4" xfId="2299" xr:uid="{00000000-0005-0000-0000-0000210A0000}"/>
    <cellStyle name="Title 2 5" xfId="2300" xr:uid="{00000000-0005-0000-0000-0000220A0000}"/>
    <cellStyle name="Title 2 6" xfId="2301" xr:uid="{00000000-0005-0000-0000-0000230A0000}"/>
    <cellStyle name="Title 2 7" xfId="2302" xr:uid="{00000000-0005-0000-0000-0000240A0000}"/>
    <cellStyle name="Title 2 8" xfId="2303" xr:uid="{00000000-0005-0000-0000-0000250A0000}"/>
    <cellStyle name="Title 2 9" xfId="2304" xr:uid="{00000000-0005-0000-0000-0000260A0000}"/>
    <cellStyle name="Title 3 10" xfId="2305" xr:uid="{00000000-0005-0000-0000-0000270A0000}"/>
    <cellStyle name="Title 3 11" xfId="2306" xr:uid="{00000000-0005-0000-0000-0000280A0000}"/>
    <cellStyle name="Title 3 12" xfId="2307" xr:uid="{00000000-0005-0000-0000-0000290A0000}"/>
    <cellStyle name="Title 3 13" xfId="2308" xr:uid="{00000000-0005-0000-0000-00002A0A0000}"/>
    <cellStyle name="Title 3 14" xfId="2309" xr:uid="{00000000-0005-0000-0000-00002B0A0000}"/>
    <cellStyle name="Title 3 15" xfId="2310" xr:uid="{00000000-0005-0000-0000-00002C0A0000}"/>
    <cellStyle name="Title 3 16" xfId="2311" xr:uid="{00000000-0005-0000-0000-00002D0A0000}"/>
    <cellStyle name="Title 3 17" xfId="2312" xr:uid="{00000000-0005-0000-0000-00002E0A0000}"/>
    <cellStyle name="Title 3 2" xfId="2313" xr:uid="{00000000-0005-0000-0000-00002F0A0000}"/>
    <cellStyle name="Title 3 3" xfId="2314" xr:uid="{00000000-0005-0000-0000-0000300A0000}"/>
    <cellStyle name="Title 3 4" xfId="2315" xr:uid="{00000000-0005-0000-0000-0000310A0000}"/>
    <cellStyle name="Title 3 5" xfId="2316" xr:uid="{00000000-0005-0000-0000-0000320A0000}"/>
    <cellStyle name="Title 3 6" xfId="2317" xr:uid="{00000000-0005-0000-0000-0000330A0000}"/>
    <cellStyle name="Title 3 7" xfId="2318" xr:uid="{00000000-0005-0000-0000-0000340A0000}"/>
    <cellStyle name="Title 3 8" xfId="2319" xr:uid="{00000000-0005-0000-0000-0000350A0000}"/>
    <cellStyle name="Title 3 9" xfId="2320" xr:uid="{00000000-0005-0000-0000-0000360A0000}"/>
    <cellStyle name="Titolo" xfId="206" xr:uid="{00000000-0005-0000-0000-0000370A0000}"/>
    <cellStyle name="Titolo 1" xfId="207" xr:uid="{00000000-0005-0000-0000-0000380A0000}"/>
    <cellStyle name="Titolo 1 2" xfId="319" xr:uid="{00000000-0005-0000-0000-0000390A0000}"/>
    <cellStyle name="Titolo 1 2 2" xfId="2321" xr:uid="{00000000-0005-0000-0000-00003A0A0000}"/>
    <cellStyle name="Titolo 1 2 2 2" xfId="2718" xr:uid="{00000000-0005-0000-0000-00003B0A0000}"/>
    <cellStyle name="Titolo 1 3" xfId="2322" xr:uid="{00000000-0005-0000-0000-00003C0A0000}"/>
    <cellStyle name="Titolo 1 4" xfId="2719" xr:uid="{00000000-0005-0000-0000-00003D0A0000}"/>
    <cellStyle name="Titolo 2" xfId="208" xr:uid="{00000000-0005-0000-0000-00003E0A0000}"/>
    <cellStyle name="Titolo 2 2" xfId="320" xr:uid="{00000000-0005-0000-0000-00003F0A0000}"/>
    <cellStyle name="Titolo 2 2 2" xfId="2323" xr:uid="{00000000-0005-0000-0000-0000400A0000}"/>
    <cellStyle name="Titolo 2 2 2 2" xfId="2720" xr:uid="{00000000-0005-0000-0000-0000410A0000}"/>
    <cellStyle name="Titolo 2 3" xfId="2324" xr:uid="{00000000-0005-0000-0000-0000420A0000}"/>
    <cellStyle name="Titolo 2 4" xfId="2721" xr:uid="{00000000-0005-0000-0000-0000430A0000}"/>
    <cellStyle name="Titolo 3" xfId="209" xr:uid="{00000000-0005-0000-0000-0000440A0000}"/>
    <cellStyle name="Titolo 3 2" xfId="321" xr:uid="{00000000-0005-0000-0000-0000450A0000}"/>
    <cellStyle name="Titolo 3 2 2" xfId="2325" xr:uid="{00000000-0005-0000-0000-0000460A0000}"/>
    <cellStyle name="Titolo 3 2 2 2" xfId="2722" xr:uid="{00000000-0005-0000-0000-0000470A0000}"/>
    <cellStyle name="Titolo 3 3" xfId="2326" xr:uid="{00000000-0005-0000-0000-0000480A0000}"/>
    <cellStyle name="Titolo 3 4" xfId="2723" xr:uid="{00000000-0005-0000-0000-0000490A0000}"/>
    <cellStyle name="Titolo 4" xfId="210" xr:uid="{00000000-0005-0000-0000-00004A0A0000}"/>
    <cellStyle name="Titolo 4 2" xfId="322" xr:uid="{00000000-0005-0000-0000-00004B0A0000}"/>
    <cellStyle name="Titolo 4 2 2" xfId="2327" xr:uid="{00000000-0005-0000-0000-00004C0A0000}"/>
    <cellStyle name="Titolo 4 2 2 2" xfId="2724" xr:uid="{00000000-0005-0000-0000-00004D0A0000}"/>
    <cellStyle name="Titolo 4 3" xfId="2328" xr:uid="{00000000-0005-0000-0000-00004E0A0000}"/>
    <cellStyle name="Titolo 4 4" xfId="2725" xr:uid="{00000000-0005-0000-0000-00004F0A0000}"/>
    <cellStyle name="Titolo 5" xfId="318" xr:uid="{00000000-0005-0000-0000-0000500A0000}"/>
    <cellStyle name="Titolo 5 2" xfId="2329" xr:uid="{00000000-0005-0000-0000-0000510A0000}"/>
    <cellStyle name="Titolo 5 2 2" xfId="2726" xr:uid="{00000000-0005-0000-0000-0000520A0000}"/>
    <cellStyle name="Titolo 6" xfId="2330" xr:uid="{00000000-0005-0000-0000-0000530A0000}"/>
    <cellStyle name="Titolo 7" xfId="2727" xr:uid="{00000000-0005-0000-0000-0000540A0000}"/>
    <cellStyle name="Total 2" xfId="255" xr:uid="{00000000-0005-0000-0000-0000550A0000}"/>
    <cellStyle name="Total 2 10" xfId="2331" xr:uid="{00000000-0005-0000-0000-0000560A0000}"/>
    <cellStyle name="Total 2 11" xfId="2332" xr:uid="{00000000-0005-0000-0000-0000570A0000}"/>
    <cellStyle name="Total 2 12" xfId="2333" xr:uid="{00000000-0005-0000-0000-0000580A0000}"/>
    <cellStyle name="Total 2 13" xfId="2334" xr:uid="{00000000-0005-0000-0000-0000590A0000}"/>
    <cellStyle name="Total 2 14" xfId="2335" xr:uid="{00000000-0005-0000-0000-00005A0A0000}"/>
    <cellStyle name="Total 2 15" xfId="2336" xr:uid="{00000000-0005-0000-0000-00005B0A0000}"/>
    <cellStyle name="Total 2 16" xfId="2337" xr:uid="{00000000-0005-0000-0000-00005C0A0000}"/>
    <cellStyle name="Total 2 17" xfId="2338" xr:uid="{00000000-0005-0000-0000-00005D0A0000}"/>
    <cellStyle name="Total 2 2" xfId="2339" xr:uid="{00000000-0005-0000-0000-00005E0A0000}"/>
    <cellStyle name="Total 2 3" xfId="2340" xr:uid="{00000000-0005-0000-0000-00005F0A0000}"/>
    <cellStyle name="Total 2 4" xfId="2341" xr:uid="{00000000-0005-0000-0000-0000600A0000}"/>
    <cellStyle name="Total 2 5" xfId="2342" xr:uid="{00000000-0005-0000-0000-0000610A0000}"/>
    <cellStyle name="Total 2 6" xfId="2343" xr:uid="{00000000-0005-0000-0000-0000620A0000}"/>
    <cellStyle name="Total 2 7" xfId="2344" xr:uid="{00000000-0005-0000-0000-0000630A0000}"/>
    <cellStyle name="Total 2 8" xfId="2345" xr:uid="{00000000-0005-0000-0000-0000640A0000}"/>
    <cellStyle name="Total 2 9" xfId="2346" xr:uid="{00000000-0005-0000-0000-0000650A0000}"/>
    <cellStyle name="Total 3 10" xfId="2347" xr:uid="{00000000-0005-0000-0000-0000660A0000}"/>
    <cellStyle name="Total 3 11" xfId="2348" xr:uid="{00000000-0005-0000-0000-0000670A0000}"/>
    <cellStyle name="Total 3 12" xfId="2349" xr:uid="{00000000-0005-0000-0000-0000680A0000}"/>
    <cellStyle name="Total 3 13" xfId="2350" xr:uid="{00000000-0005-0000-0000-0000690A0000}"/>
    <cellStyle name="Total 3 14" xfId="2351" xr:uid="{00000000-0005-0000-0000-00006A0A0000}"/>
    <cellStyle name="Total 3 15" xfId="2352" xr:uid="{00000000-0005-0000-0000-00006B0A0000}"/>
    <cellStyle name="Total 3 16" xfId="2353" xr:uid="{00000000-0005-0000-0000-00006C0A0000}"/>
    <cellStyle name="Total 3 17" xfId="2354" xr:uid="{00000000-0005-0000-0000-00006D0A0000}"/>
    <cellStyle name="Total 3 2" xfId="2355" xr:uid="{00000000-0005-0000-0000-00006E0A0000}"/>
    <cellStyle name="Total 3 3" xfId="2356" xr:uid="{00000000-0005-0000-0000-00006F0A0000}"/>
    <cellStyle name="Total 3 4" xfId="2357" xr:uid="{00000000-0005-0000-0000-0000700A0000}"/>
    <cellStyle name="Total 3 5" xfId="2358" xr:uid="{00000000-0005-0000-0000-0000710A0000}"/>
    <cellStyle name="Total 3 6" xfId="2359" xr:uid="{00000000-0005-0000-0000-0000720A0000}"/>
    <cellStyle name="Total 3 7" xfId="2360" xr:uid="{00000000-0005-0000-0000-0000730A0000}"/>
    <cellStyle name="Total 3 8" xfId="2361" xr:uid="{00000000-0005-0000-0000-0000740A0000}"/>
    <cellStyle name="Total 3 9" xfId="2362" xr:uid="{00000000-0005-0000-0000-0000750A0000}"/>
    <cellStyle name="Totale" xfId="211" xr:uid="{00000000-0005-0000-0000-0000760A0000}"/>
    <cellStyle name="Totale 2" xfId="323" xr:uid="{00000000-0005-0000-0000-0000770A0000}"/>
    <cellStyle name="Totale 2 2" xfId="2363" xr:uid="{00000000-0005-0000-0000-0000780A0000}"/>
    <cellStyle name="Totale 2 2 2" xfId="2728" xr:uid="{00000000-0005-0000-0000-0000790A0000}"/>
    <cellStyle name="Totale 3" xfId="2364" xr:uid="{00000000-0005-0000-0000-00007A0A0000}"/>
    <cellStyle name="Totale 4" xfId="2729" xr:uid="{00000000-0005-0000-0000-00007B0A0000}"/>
    <cellStyle name="Valore non valido" xfId="212" xr:uid="{00000000-0005-0000-0000-00007C0A0000}"/>
    <cellStyle name="Valore non valido 2" xfId="324" xr:uid="{00000000-0005-0000-0000-00007D0A0000}"/>
    <cellStyle name="Valore non valido 2 2" xfId="2365" xr:uid="{00000000-0005-0000-0000-00007E0A0000}"/>
    <cellStyle name="Valore non valido 2 2 2" xfId="2730" xr:uid="{00000000-0005-0000-0000-00007F0A0000}"/>
    <cellStyle name="Valore non valido 3" xfId="2366" xr:uid="{00000000-0005-0000-0000-0000800A0000}"/>
    <cellStyle name="Valore non valido 4" xfId="2731" xr:uid="{00000000-0005-0000-0000-0000810A0000}"/>
    <cellStyle name="Valore valido" xfId="213" xr:uid="{00000000-0005-0000-0000-0000820A0000}"/>
    <cellStyle name="Valore valido 2" xfId="325" xr:uid="{00000000-0005-0000-0000-0000830A0000}"/>
    <cellStyle name="Valore valido 2 2" xfId="2367" xr:uid="{00000000-0005-0000-0000-0000840A0000}"/>
    <cellStyle name="Valore valido 2 2 2" xfId="2732" xr:uid="{00000000-0005-0000-0000-0000850A0000}"/>
    <cellStyle name="Valore valido 3" xfId="2368" xr:uid="{00000000-0005-0000-0000-0000860A0000}"/>
    <cellStyle name="Valore valido 4" xfId="2733" xr:uid="{00000000-0005-0000-0000-0000870A0000}"/>
    <cellStyle name="Warning Text 2" xfId="254" xr:uid="{00000000-0005-0000-0000-0000880A0000}"/>
    <cellStyle name="Warning Text 2 10" xfId="2369" xr:uid="{00000000-0005-0000-0000-0000890A0000}"/>
    <cellStyle name="Warning Text 2 11" xfId="2370" xr:uid="{00000000-0005-0000-0000-00008A0A0000}"/>
    <cellStyle name="Warning Text 2 12" xfId="2371" xr:uid="{00000000-0005-0000-0000-00008B0A0000}"/>
    <cellStyle name="Warning Text 2 13" xfId="2372" xr:uid="{00000000-0005-0000-0000-00008C0A0000}"/>
    <cellStyle name="Warning Text 2 14" xfId="2373" xr:uid="{00000000-0005-0000-0000-00008D0A0000}"/>
    <cellStyle name="Warning Text 2 15" xfId="2374" xr:uid="{00000000-0005-0000-0000-00008E0A0000}"/>
    <cellStyle name="Warning Text 2 16" xfId="2375" xr:uid="{00000000-0005-0000-0000-00008F0A0000}"/>
    <cellStyle name="Warning Text 2 17" xfId="2376" xr:uid="{00000000-0005-0000-0000-0000900A0000}"/>
    <cellStyle name="Warning Text 2 2" xfId="2377" xr:uid="{00000000-0005-0000-0000-0000910A0000}"/>
    <cellStyle name="Warning Text 2 3" xfId="2378" xr:uid="{00000000-0005-0000-0000-0000920A0000}"/>
    <cellStyle name="Warning Text 2 4" xfId="2379" xr:uid="{00000000-0005-0000-0000-0000930A0000}"/>
    <cellStyle name="Warning Text 2 5" xfId="2380" xr:uid="{00000000-0005-0000-0000-0000940A0000}"/>
    <cellStyle name="Warning Text 2 6" xfId="2381" xr:uid="{00000000-0005-0000-0000-0000950A0000}"/>
    <cellStyle name="Warning Text 2 7" xfId="2382" xr:uid="{00000000-0005-0000-0000-0000960A0000}"/>
    <cellStyle name="Warning Text 2 8" xfId="2383" xr:uid="{00000000-0005-0000-0000-0000970A0000}"/>
    <cellStyle name="Warning Text 2 9" xfId="2384" xr:uid="{00000000-0005-0000-0000-0000980A0000}"/>
    <cellStyle name="Warning Text 3 10" xfId="2385" xr:uid="{00000000-0005-0000-0000-0000990A0000}"/>
    <cellStyle name="Warning Text 3 11" xfId="2386" xr:uid="{00000000-0005-0000-0000-00009A0A0000}"/>
    <cellStyle name="Warning Text 3 12" xfId="2387" xr:uid="{00000000-0005-0000-0000-00009B0A0000}"/>
    <cellStyle name="Warning Text 3 13" xfId="2388" xr:uid="{00000000-0005-0000-0000-00009C0A0000}"/>
    <cellStyle name="Warning Text 3 14" xfId="2389" xr:uid="{00000000-0005-0000-0000-00009D0A0000}"/>
    <cellStyle name="Warning Text 3 15" xfId="2390" xr:uid="{00000000-0005-0000-0000-00009E0A0000}"/>
    <cellStyle name="Warning Text 3 16" xfId="2391" xr:uid="{00000000-0005-0000-0000-00009F0A0000}"/>
    <cellStyle name="Warning Text 3 17" xfId="2392" xr:uid="{00000000-0005-0000-0000-0000A00A0000}"/>
    <cellStyle name="Warning Text 3 2" xfId="2393" xr:uid="{00000000-0005-0000-0000-0000A10A0000}"/>
    <cellStyle name="Warning Text 3 3" xfId="2394" xr:uid="{00000000-0005-0000-0000-0000A20A0000}"/>
    <cellStyle name="Warning Text 3 4" xfId="2395" xr:uid="{00000000-0005-0000-0000-0000A30A0000}"/>
    <cellStyle name="Warning Text 3 5" xfId="2396" xr:uid="{00000000-0005-0000-0000-0000A40A0000}"/>
    <cellStyle name="Warning Text 3 6" xfId="2397" xr:uid="{00000000-0005-0000-0000-0000A50A0000}"/>
    <cellStyle name="Warning Text 3 7" xfId="2398" xr:uid="{00000000-0005-0000-0000-0000A60A0000}"/>
    <cellStyle name="Warning Text 3 8" xfId="2399" xr:uid="{00000000-0005-0000-0000-0000A70A0000}"/>
    <cellStyle name="Warning Text 3 9" xfId="2400" xr:uid="{00000000-0005-0000-0000-0000A80A0000}"/>
  </cellStyles>
  <dxfs count="0"/>
  <tableStyles count="0" defaultTableStyle="TableStyleMedium2" defaultPivotStyle="PivotStyleLight16"/>
  <colors>
    <mruColors>
      <color rgb="FFFFFFCC"/>
      <color rgb="FF9900CC"/>
      <color rgb="FF008000"/>
      <color rgb="FFFF9900"/>
      <color rgb="FFFFCCFF"/>
      <color rgb="FF00FF00"/>
      <color rgb="FFFF00FF"/>
      <color rgb="FFFF99CC"/>
      <color rgb="FF99CCFF"/>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FDD1-E6EA-424F-949D-18BBFC00347F}">
  <sheetPr>
    <pageSetUpPr fitToPage="1"/>
  </sheetPr>
  <dimension ref="A1:N317"/>
  <sheetViews>
    <sheetView tabSelected="1" view="pageBreakPreview" topLeftCell="A290" zoomScaleNormal="100" zoomScaleSheetLayoutView="100" workbookViewId="0">
      <selection activeCell="A290" sqref="A1:XFD1048576"/>
    </sheetView>
  </sheetViews>
  <sheetFormatPr defaultRowHeight="11.25"/>
  <cols>
    <col min="1" max="1" width="8.7109375" style="86" customWidth="1"/>
    <col min="2" max="2" width="8.85546875" style="130" bestFit="1" customWidth="1"/>
    <col min="3" max="3" width="12.42578125" style="130" customWidth="1"/>
    <col min="4" max="4" width="13.7109375" style="130" customWidth="1"/>
    <col min="5" max="5" width="15.85546875" style="108" customWidth="1"/>
    <col min="6" max="6" width="14.85546875" style="108" customWidth="1"/>
    <col min="7" max="7" width="17.140625" style="108" customWidth="1"/>
    <col min="8" max="8" width="11.7109375" style="108" customWidth="1"/>
    <col min="9" max="9" width="11.28515625" style="62" customWidth="1"/>
    <col min="10" max="10" width="7.5703125" style="108" customWidth="1"/>
    <col min="11" max="11" width="11.140625" style="60" customWidth="1"/>
    <col min="12" max="12" width="10.85546875" style="108" customWidth="1"/>
    <col min="13" max="13" width="62.7109375" style="63" customWidth="1"/>
    <col min="14" max="14" width="57.85546875" style="63" customWidth="1"/>
    <col min="15" max="199" width="9.140625" style="73"/>
    <col min="200" max="200" width="8.7109375" style="73" customWidth="1"/>
    <col min="201" max="201" width="8.85546875" style="73" bestFit="1" customWidth="1"/>
    <col min="202" max="202" width="12.42578125" style="73" customWidth="1"/>
    <col min="203" max="203" width="13.7109375" style="73" customWidth="1"/>
    <col min="204" max="204" width="15.85546875" style="73" customWidth="1"/>
    <col min="205" max="205" width="14.85546875" style="73" customWidth="1"/>
    <col min="206" max="206" width="17.140625" style="73" customWidth="1"/>
    <col min="207" max="207" width="11.7109375" style="73" customWidth="1"/>
    <col min="208" max="208" width="11.28515625" style="73" customWidth="1"/>
    <col min="209" max="209" width="7.5703125" style="73" customWidth="1"/>
    <col min="210" max="210" width="8.7109375" style="73" customWidth="1"/>
    <col min="211" max="211" width="10.85546875" style="73" customWidth="1"/>
    <col min="212" max="212" width="53.7109375" style="73" customWidth="1"/>
    <col min="213" max="213" width="47.85546875" style="73" customWidth="1"/>
    <col min="214" max="214" width="9.28515625" style="73" customWidth="1"/>
    <col min="215" max="215" width="10.5703125" style="73" customWidth="1"/>
    <col min="216" max="216" width="9.28515625" style="73" customWidth="1"/>
    <col min="217" max="217" width="11.140625" style="73" customWidth="1"/>
    <col min="218" max="218" width="10.5703125" style="73" customWidth="1"/>
    <col min="219" max="219" width="9.28515625" style="73" customWidth="1"/>
    <col min="220" max="220" width="11.28515625" style="73" customWidth="1"/>
    <col min="221" max="221" width="7.5703125" style="73" customWidth="1"/>
    <col min="222" max="222" width="11.140625" style="73" customWidth="1"/>
    <col min="223" max="223" width="11.85546875" style="73" customWidth="1"/>
    <col min="224" max="225" width="9.28515625" style="73" customWidth="1"/>
    <col min="226" max="226" width="12.5703125" style="73" customWidth="1"/>
    <col min="227" max="227" width="9.28515625" style="73" customWidth="1"/>
    <col min="228" max="228" width="9.28515625" style="73" bestFit="1" customWidth="1"/>
    <col min="229" max="229" width="11.28515625" style="73" bestFit="1" customWidth="1"/>
    <col min="230" max="230" width="9.28515625" style="73" bestFit="1" customWidth="1"/>
    <col min="231" max="231" width="10.85546875" style="73" customWidth="1"/>
    <col min="232" max="232" width="9.28515625" style="73" customWidth="1"/>
    <col min="233" max="233" width="10" style="73" customWidth="1"/>
    <col min="234" max="234" width="10.85546875" style="73" customWidth="1"/>
    <col min="235" max="235" width="9.42578125" style="73" customWidth="1"/>
    <col min="236" max="236" width="10" style="73" customWidth="1"/>
    <col min="237" max="237" width="9.42578125" style="73" bestFit="1" customWidth="1"/>
    <col min="238" max="238" width="10.28515625" style="73" bestFit="1" customWidth="1"/>
    <col min="239" max="239" width="9.42578125" style="73" customWidth="1"/>
    <col min="240" max="240" width="10" style="73" customWidth="1"/>
    <col min="241" max="241" width="9.42578125" style="73" bestFit="1" customWidth="1"/>
    <col min="242" max="242" width="11" style="73" customWidth="1"/>
    <col min="243" max="243" width="9.28515625" style="73" bestFit="1" customWidth="1"/>
    <col min="244" max="244" width="9.140625" style="73"/>
    <col min="245" max="245" width="9.42578125" style="73" bestFit="1" customWidth="1"/>
    <col min="246" max="246" width="9.140625" style="73"/>
    <col min="247" max="247" width="9.42578125" style="73" bestFit="1" customWidth="1"/>
    <col min="248" max="248" width="9.140625" style="73"/>
    <col min="249" max="250" width="9.42578125" style="73" bestFit="1" customWidth="1"/>
    <col min="251" max="251" width="9.140625" style="73"/>
    <col min="252" max="252" width="9.28515625" style="73" bestFit="1" customWidth="1"/>
    <col min="253" max="253" width="9.140625" style="73"/>
    <col min="254" max="255" width="9.42578125" style="73" bestFit="1" customWidth="1"/>
    <col min="256" max="455" width="9.140625" style="73"/>
    <col min="456" max="456" width="8.7109375" style="73" customWidth="1"/>
    <col min="457" max="457" width="8.85546875" style="73" bestFit="1" customWidth="1"/>
    <col min="458" max="458" width="12.42578125" style="73" customWidth="1"/>
    <col min="459" max="459" width="13.7109375" style="73" customWidth="1"/>
    <col min="460" max="460" width="15.85546875" style="73" customWidth="1"/>
    <col min="461" max="461" width="14.85546875" style="73" customWidth="1"/>
    <col min="462" max="462" width="17.140625" style="73" customWidth="1"/>
    <col min="463" max="463" width="11.7109375" style="73" customWidth="1"/>
    <col min="464" max="464" width="11.28515625" style="73" customWidth="1"/>
    <col min="465" max="465" width="7.5703125" style="73" customWidth="1"/>
    <col min="466" max="466" width="8.7109375" style="73" customWidth="1"/>
    <col min="467" max="467" width="10.85546875" style="73" customWidth="1"/>
    <col min="468" max="468" width="53.7109375" style="73" customWidth="1"/>
    <col min="469" max="469" width="47.85546875" style="73" customWidth="1"/>
    <col min="470" max="470" width="9.28515625" style="73" customWidth="1"/>
    <col min="471" max="471" width="10.5703125" style="73" customWidth="1"/>
    <col min="472" max="472" width="9.28515625" style="73" customWidth="1"/>
    <col min="473" max="473" width="11.140625" style="73" customWidth="1"/>
    <col min="474" max="474" width="10.5703125" style="73" customWidth="1"/>
    <col min="475" max="475" width="9.28515625" style="73" customWidth="1"/>
    <col min="476" max="476" width="11.28515625" style="73" customWidth="1"/>
    <col min="477" max="477" width="7.5703125" style="73" customWidth="1"/>
    <col min="478" max="478" width="11.140625" style="73" customWidth="1"/>
    <col min="479" max="479" width="11.85546875" style="73" customWidth="1"/>
    <col min="480" max="481" width="9.28515625" style="73" customWidth="1"/>
    <col min="482" max="482" width="12.5703125" style="73" customWidth="1"/>
    <col min="483" max="483" width="9.28515625" style="73" customWidth="1"/>
    <col min="484" max="484" width="9.28515625" style="73" bestFit="1" customWidth="1"/>
    <col min="485" max="485" width="11.28515625" style="73" bestFit="1" customWidth="1"/>
    <col min="486" max="486" width="9.28515625" style="73" bestFit="1" customWidth="1"/>
    <col min="487" max="487" width="10.85546875" style="73" customWidth="1"/>
    <col min="488" max="488" width="9.28515625" style="73" customWidth="1"/>
    <col min="489" max="489" width="10" style="73" customWidth="1"/>
    <col min="490" max="490" width="10.85546875" style="73" customWidth="1"/>
    <col min="491" max="491" width="9.42578125" style="73" customWidth="1"/>
    <col min="492" max="492" width="10" style="73" customWidth="1"/>
    <col min="493" max="493" width="9.42578125" style="73" bestFit="1" customWidth="1"/>
    <col min="494" max="494" width="10.28515625" style="73" bestFit="1" customWidth="1"/>
    <col min="495" max="495" width="9.42578125" style="73" customWidth="1"/>
    <col min="496" max="496" width="10" style="73" customWidth="1"/>
    <col min="497" max="497" width="9.42578125" style="73" bestFit="1" customWidth="1"/>
    <col min="498" max="498" width="11" style="73" customWidth="1"/>
    <col min="499" max="499" width="9.28515625" style="73" bestFit="1" customWidth="1"/>
    <col min="500" max="500" width="9.140625" style="73"/>
    <col min="501" max="501" width="9.42578125" style="73" bestFit="1" customWidth="1"/>
    <col min="502" max="502" width="9.140625" style="73"/>
    <col min="503" max="503" width="9.42578125" style="73" bestFit="1" customWidth="1"/>
    <col min="504" max="504" width="9.140625" style="73"/>
    <col min="505" max="506" width="9.42578125" style="73" bestFit="1" customWidth="1"/>
    <col min="507" max="507" width="9.140625" style="73"/>
    <col min="508" max="508" width="9.28515625" style="73" bestFit="1" customWidth="1"/>
    <col min="509" max="509" width="9.140625" style="73"/>
    <col min="510" max="511" width="9.42578125" style="73" bestFit="1" customWidth="1"/>
    <col min="512" max="711" width="9.140625" style="73"/>
    <col min="712" max="712" width="8.7109375" style="73" customWidth="1"/>
    <col min="713" max="713" width="8.85546875" style="73" bestFit="1" customWidth="1"/>
    <col min="714" max="714" width="12.42578125" style="73" customWidth="1"/>
    <col min="715" max="715" width="13.7109375" style="73" customWidth="1"/>
    <col min="716" max="716" width="15.85546875" style="73" customWidth="1"/>
    <col min="717" max="717" width="14.85546875" style="73" customWidth="1"/>
    <col min="718" max="718" width="17.140625" style="73" customWidth="1"/>
    <col min="719" max="719" width="11.7109375" style="73" customWidth="1"/>
    <col min="720" max="720" width="11.28515625" style="73" customWidth="1"/>
    <col min="721" max="721" width="7.5703125" style="73" customWidth="1"/>
    <col min="722" max="722" width="8.7109375" style="73" customWidth="1"/>
    <col min="723" max="723" width="10.85546875" style="73" customWidth="1"/>
    <col min="724" max="724" width="53.7109375" style="73" customWidth="1"/>
    <col min="725" max="725" width="47.85546875" style="73" customWidth="1"/>
    <col min="726" max="726" width="9.28515625" style="73" customWidth="1"/>
    <col min="727" max="727" width="10.5703125" style="73" customWidth="1"/>
    <col min="728" max="728" width="9.28515625" style="73" customWidth="1"/>
    <col min="729" max="729" width="11.140625" style="73" customWidth="1"/>
    <col min="730" max="730" width="10.5703125" style="73" customWidth="1"/>
    <col min="731" max="731" width="9.28515625" style="73" customWidth="1"/>
    <col min="732" max="732" width="11.28515625" style="73" customWidth="1"/>
    <col min="733" max="733" width="7.5703125" style="73" customWidth="1"/>
    <col min="734" max="734" width="11.140625" style="73" customWidth="1"/>
    <col min="735" max="735" width="11.85546875" style="73" customWidth="1"/>
    <col min="736" max="737" width="9.28515625" style="73" customWidth="1"/>
    <col min="738" max="738" width="12.5703125" style="73" customWidth="1"/>
    <col min="739" max="739" width="9.28515625" style="73" customWidth="1"/>
    <col min="740" max="740" width="9.28515625" style="73" bestFit="1" customWidth="1"/>
    <col min="741" max="741" width="11.28515625" style="73" bestFit="1" customWidth="1"/>
    <col min="742" max="742" width="9.28515625" style="73" bestFit="1" customWidth="1"/>
    <col min="743" max="743" width="10.85546875" style="73" customWidth="1"/>
    <col min="744" max="744" width="9.28515625" style="73" customWidth="1"/>
    <col min="745" max="745" width="10" style="73" customWidth="1"/>
    <col min="746" max="746" width="10.85546875" style="73" customWidth="1"/>
    <col min="747" max="747" width="9.42578125" style="73" customWidth="1"/>
    <col min="748" max="748" width="10" style="73" customWidth="1"/>
    <col min="749" max="749" width="9.42578125" style="73" bestFit="1" customWidth="1"/>
    <col min="750" max="750" width="10.28515625" style="73" bestFit="1" customWidth="1"/>
    <col min="751" max="751" width="9.42578125" style="73" customWidth="1"/>
    <col min="752" max="752" width="10" style="73" customWidth="1"/>
    <col min="753" max="753" width="9.42578125" style="73" bestFit="1" customWidth="1"/>
    <col min="754" max="754" width="11" style="73" customWidth="1"/>
    <col min="755" max="755" width="9.28515625" style="73" bestFit="1" customWidth="1"/>
    <col min="756" max="756" width="9.140625" style="73"/>
    <col min="757" max="757" width="9.42578125" style="73" bestFit="1" customWidth="1"/>
    <col min="758" max="758" width="9.140625" style="73"/>
    <col min="759" max="759" width="9.42578125" style="73" bestFit="1" customWidth="1"/>
    <col min="760" max="760" width="9.140625" style="73"/>
    <col min="761" max="762" width="9.42578125" style="73" bestFit="1" customWidth="1"/>
    <col min="763" max="763" width="9.140625" style="73"/>
    <col min="764" max="764" width="9.28515625" style="73" bestFit="1" customWidth="1"/>
    <col min="765" max="765" width="9.140625" style="73"/>
    <col min="766" max="767" width="9.42578125" style="73" bestFit="1" customWidth="1"/>
    <col min="768" max="967" width="9.140625" style="73"/>
    <col min="968" max="968" width="8.7109375" style="73" customWidth="1"/>
    <col min="969" max="969" width="8.85546875" style="73" bestFit="1" customWidth="1"/>
    <col min="970" max="970" width="12.42578125" style="73" customWidth="1"/>
    <col min="971" max="971" width="13.7109375" style="73" customWidth="1"/>
    <col min="972" max="972" width="15.85546875" style="73" customWidth="1"/>
    <col min="973" max="973" width="14.85546875" style="73" customWidth="1"/>
    <col min="974" max="974" width="17.140625" style="73" customWidth="1"/>
    <col min="975" max="975" width="11.7109375" style="73" customWidth="1"/>
    <col min="976" max="976" width="11.28515625" style="73" customWidth="1"/>
    <col min="977" max="977" width="7.5703125" style="73" customWidth="1"/>
    <col min="978" max="978" width="8.7109375" style="73" customWidth="1"/>
    <col min="979" max="979" width="10.85546875" style="73" customWidth="1"/>
    <col min="980" max="980" width="53.7109375" style="73" customWidth="1"/>
    <col min="981" max="981" width="47.85546875" style="73" customWidth="1"/>
    <col min="982" max="982" width="9.28515625" style="73" customWidth="1"/>
    <col min="983" max="983" width="10.5703125" style="73" customWidth="1"/>
    <col min="984" max="984" width="9.28515625" style="73" customWidth="1"/>
    <col min="985" max="985" width="11.140625" style="73" customWidth="1"/>
    <col min="986" max="986" width="10.5703125" style="73" customWidth="1"/>
    <col min="987" max="987" width="9.28515625" style="73" customWidth="1"/>
    <col min="988" max="988" width="11.28515625" style="73" customWidth="1"/>
    <col min="989" max="989" width="7.5703125" style="73" customWidth="1"/>
    <col min="990" max="990" width="11.140625" style="73" customWidth="1"/>
    <col min="991" max="991" width="11.85546875" style="73" customWidth="1"/>
    <col min="992" max="993" width="9.28515625" style="73" customWidth="1"/>
    <col min="994" max="994" width="12.5703125" style="73" customWidth="1"/>
    <col min="995" max="995" width="9.28515625" style="73" customWidth="1"/>
    <col min="996" max="996" width="9.28515625" style="73" bestFit="1" customWidth="1"/>
    <col min="997" max="997" width="11.28515625" style="73" bestFit="1" customWidth="1"/>
    <col min="998" max="998" width="9.28515625" style="73" bestFit="1" customWidth="1"/>
    <col min="999" max="999" width="10.85546875" style="73" customWidth="1"/>
    <col min="1000" max="1000" width="9.28515625" style="73" customWidth="1"/>
    <col min="1001" max="1001" width="10" style="73" customWidth="1"/>
    <col min="1002" max="1002" width="10.85546875" style="73" customWidth="1"/>
    <col min="1003" max="1003" width="9.42578125" style="73" customWidth="1"/>
    <col min="1004" max="1004" width="10" style="73" customWidth="1"/>
    <col min="1005" max="1005" width="9.42578125" style="73" bestFit="1" customWidth="1"/>
    <col min="1006" max="1006" width="10.28515625" style="73" bestFit="1" customWidth="1"/>
    <col min="1007" max="1007" width="9.42578125" style="73" customWidth="1"/>
    <col min="1008" max="1008" width="10" style="73" customWidth="1"/>
    <col min="1009" max="1009" width="9.42578125" style="73" bestFit="1" customWidth="1"/>
    <col min="1010" max="1010" width="11" style="73" customWidth="1"/>
    <col min="1011" max="1011" width="9.28515625" style="73" bestFit="1" customWidth="1"/>
    <col min="1012" max="1012" width="9.140625" style="73"/>
    <col min="1013" max="1013" width="9.42578125" style="73" bestFit="1" customWidth="1"/>
    <col min="1014" max="1014" width="9.140625" style="73"/>
    <col min="1015" max="1015" width="9.42578125" style="73" bestFit="1" customWidth="1"/>
    <col min="1016" max="1016" width="9.140625" style="73"/>
    <col min="1017" max="1018" width="9.42578125" style="73" bestFit="1" customWidth="1"/>
    <col min="1019" max="1019" width="9.140625" style="73"/>
    <col min="1020" max="1020" width="9.28515625" style="73" bestFit="1" customWidth="1"/>
    <col min="1021" max="1021" width="9.140625" style="73"/>
    <col min="1022" max="1023" width="9.42578125" style="73" bestFit="1" customWidth="1"/>
    <col min="1024" max="1223" width="9.140625" style="73"/>
    <col min="1224" max="1224" width="8.7109375" style="73" customWidth="1"/>
    <col min="1225" max="1225" width="8.85546875" style="73" bestFit="1" customWidth="1"/>
    <col min="1226" max="1226" width="12.42578125" style="73" customWidth="1"/>
    <col min="1227" max="1227" width="13.7109375" style="73" customWidth="1"/>
    <col min="1228" max="1228" width="15.85546875" style="73" customWidth="1"/>
    <col min="1229" max="1229" width="14.85546875" style="73" customWidth="1"/>
    <col min="1230" max="1230" width="17.140625" style="73" customWidth="1"/>
    <col min="1231" max="1231" width="11.7109375" style="73" customWidth="1"/>
    <col min="1232" max="1232" width="11.28515625" style="73" customWidth="1"/>
    <col min="1233" max="1233" width="7.5703125" style="73" customWidth="1"/>
    <col min="1234" max="1234" width="8.7109375" style="73" customWidth="1"/>
    <col min="1235" max="1235" width="10.85546875" style="73" customWidth="1"/>
    <col min="1236" max="1236" width="53.7109375" style="73" customWidth="1"/>
    <col min="1237" max="1237" width="47.85546875" style="73" customWidth="1"/>
    <col min="1238" max="1238" width="9.28515625" style="73" customWidth="1"/>
    <col min="1239" max="1239" width="10.5703125" style="73" customWidth="1"/>
    <col min="1240" max="1240" width="9.28515625" style="73" customWidth="1"/>
    <col min="1241" max="1241" width="11.140625" style="73" customWidth="1"/>
    <col min="1242" max="1242" width="10.5703125" style="73" customWidth="1"/>
    <col min="1243" max="1243" width="9.28515625" style="73" customWidth="1"/>
    <col min="1244" max="1244" width="11.28515625" style="73" customWidth="1"/>
    <col min="1245" max="1245" width="7.5703125" style="73" customWidth="1"/>
    <col min="1246" max="1246" width="11.140625" style="73" customWidth="1"/>
    <col min="1247" max="1247" width="11.85546875" style="73" customWidth="1"/>
    <col min="1248" max="1249" width="9.28515625" style="73" customWidth="1"/>
    <col min="1250" max="1250" width="12.5703125" style="73" customWidth="1"/>
    <col min="1251" max="1251" width="9.28515625" style="73" customWidth="1"/>
    <col min="1252" max="1252" width="9.28515625" style="73" bestFit="1" customWidth="1"/>
    <col min="1253" max="1253" width="11.28515625" style="73" bestFit="1" customWidth="1"/>
    <col min="1254" max="1254" width="9.28515625" style="73" bestFit="1" customWidth="1"/>
    <col min="1255" max="1255" width="10.85546875" style="73" customWidth="1"/>
    <col min="1256" max="1256" width="9.28515625" style="73" customWidth="1"/>
    <col min="1257" max="1257" width="10" style="73" customWidth="1"/>
    <col min="1258" max="1258" width="10.85546875" style="73" customWidth="1"/>
    <col min="1259" max="1259" width="9.42578125" style="73" customWidth="1"/>
    <col min="1260" max="1260" width="10" style="73" customWidth="1"/>
    <col min="1261" max="1261" width="9.42578125" style="73" bestFit="1" customWidth="1"/>
    <col min="1262" max="1262" width="10.28515625" style="73" bestFit="1" customWidth="1"/>
    <col min="1263" max="1263" width="9.42578125" style="73" customWidth="1"/>
    <col min="1264" max="1264" width="10" style="73" customWidth="1"/>
    <col min="1265" max="1265" width="9.42578125" style="73" bestFit="1" customWidth="1"/>
    <col min="1266" max="1266" width="11" style="73" customWidth="1"/>
    <col min="1267" max="1267" width="9.28515625" style="73" bestFit="1" customWidth="1"/>
    <col min="1268" max="1268" width="9.140625" style="73"/>
    <col min="1269" max="1269" width="9.42578125" style="73" bestFit="1" customWidth="1"/>
    <col min="1270" max="1270" width="9.140625" style="73"/>
    <col min="1271" max="1271" width="9.42578125" style="73" bestFit="1" customWidth="1"/>
    <col min="1272" max="1272" width="9.140625" style="73"/>
    <col min="1273" max="1274" width="9.42578125" style="73" bestFit="1" customWidth="1"/>
    <col min="1275" max="1275" width="9.140625" style="73"/>
    <col min="1276" max="1276" width="9.28515625" style="73" bestFit="1" customWidth="1"/>
    <col min="1277" max="1277" width="9.140625" style="73"/>
    <col min="1278" max="1279" width="9.42578125" style="73" bestFit="1" customWidth="1"/>
    <col min="1280" max="1479" width="9.140625" style="73"/>
    <col min="1480" max="1480" width="8.7109375" style="73" customWidth="1"/>
    <col min="1481" max="1481" width="8.85546875" style="73" bestFit="1" customWidth="1"/>
    <col min="1482" max="1482" width="12.42578125" style="73" customWidth="1"/>
    <col min="1483" max="1483" width="13.7109375" style="73" customWidth="1"/>
    <col min="1484" max="1484" width="15.85546875" style="73" customWidth="1"/>
    <col min="1485" max="1485" width="14.85546875" style="73" customWidth="1"/>
    <col min="1486" max="1486" width="17.140625" style="73" customWidth="1"/>
    <col min="1487" max="1487" width="11.7109375" style="73" customWidth="1"/>
    <col min="1488" max="1488" width="11.28515625" style="73" customWidth="1"/>
    <col min="1489" max="1489" width="7.5703125" style="73" customWidth="1"/>
    <col min="1490" max="1490" width="8.7109375" style="73" customWidth="1"/>
    <col min="1491" max="1491" width="10.85546875" style="73" customWidth="1"/>
    <col min="1492" max="1492" width="53.7109375" style="73" customWidth="1"/>
    <col min="1493" max="1493" width="47.85546875" style="73" customWidth="1"/>
    <col min="1494" max="1494" width="9.28515625" style="73" customWidth="1"/>
    <col min="1495" max="1495" width="10.5703125" style="73" customWidth="1"/>
    <col min="1496" max="1496" width="9.28515625" style="73" customWidth="1"/>
    <col min="1497" max="1497" width="11.140625" style="73" customWidth="1"/>
    <col min="1498" max="1498" width="10.5703125" style="73" customWidth="1"/>
    <col min="1499" max="1499" width="9.28515625" style="73" customWidth="1"/>
    <col min="1500" max="1500" width="11.28515625" style="73" customWidth="1"/>
    <col min="1501" max="1501" width="7.5703125" style="73" customWidth="1"/>
    <col min="1502" max="1502" width="11.140625" style="73" customWidth="1"/>
    <col min="1503" max="1503" width="11.85546875" style="73" customWidth="1"/>
    <col min="1504" max="1505" width="9.28515625" style="73" customWidth="1"/>
    <col min="1506" max="1506" width="12.5703125" style="73" customWidth="1"/>
    <col min="1507" max="1507" width="9.28515625" style="73" customWidth="1"/>
    <col min="1508" max="1508" width="9.28515625" style="73" bestFit="1" customWidth="1"/>
    <col min="1509" max="1509" width="11.28515625" style="73" bestFit="1" customWidth="1"/>
    <col min="1510" max="1510" width="9.28515625" style="73" bestFit="1" customWidth="1"/>
    <col min="1511" max="1511" width="10.85546875" style="73" customWidth="1"/>
    <col min="1512" max="1512" width="9.28515625" style="73" customWidth="1"/>
    <col min="1513" max="1513" width="10" style="73" customWidth="1"/>
    <col min="1514" max="1514" width="10.85546875" style="73" customWidth="1"/>
    <col min="1515" max="1515" width="9.42578125" style="73" customWidth="1"/>
    <col min="1516" max="1516" width="10" style="73" customWidth="1"/>
    <col min="1517" max="1517" width="9.42578125" style="73" bestFit="1" customWidth="1"/>
    <col min="1518" max="1518" width="10.28515625" style="73" bestFit="1" customWidth="1"/>
    <col min="1519" max="1519" width="9.42578125" style="73" customWidth="1"/>
    <col min="1520" max="1520" width="10" style="73" customWidth="1"/>
    <col min="1521" max="1521" width="9.42578125" style="73" bestFit="1" customWidth="1"/>
    <col min="1522" max="1522" width="11" style="73" customWidth="1"/>
    <col min="1523" max="1523" width="9.28515625" style="73" bestFit="1" customWidth="1"/>
    <col min="1524" max="1524" width="9.140625" style="73"/>
    <col min="1525" max="1525" width="9.42578125" style="73" bestFit="1" customWidth="1"/>
    <col min="1526" max="1526" width="9.140625" style="73"/>
    <col min="1527" max="1527" width="9.42578125" style="73" bestFit="1" customWidth="1"/>
    <col min="1528" max="1528" width="9.140625" style="73"/>
    <col min="1529" max="1530" width="9.42578125" style="73" bestFit="1" customWidth="1"/>
    <col min="1531" max="1531" width="9.140625" style="73"/>
    <col min="1532" max="1532" width="9.28515625" style="73" bestFit="1" customWidth="1"/>
    <col min="1533" max="1533" width="9.140625" style="73"/>
    <col min="1534" max="1535" width="9.42578125" style="73" bestFit="1" customWidth="1"/>
    <col min="1536" max="1735" width="9.140625" style="73"/>
    <col min="1736" max="1736" width="8.7109375" style="73" customWidth="1"/>
    <col min="1737" max="1737" width="8.85546875" style="73" bestFit="1" customWidth="1"/>
    <col min="1738" max="1738" width="12.42578125" style="73" customWidth="1"/>
    <col min="1739" max="1739" width="13.7109375" style="73" customWidth="1"/>
    <col min="1740" max="1740" width="15.85546875" style="73" customWidth="1"/>
    <col min="1741" max="1741" width="14.85546875" style="73" customWidth="1"/>
    <col min="1742" max="1742" width="17.140625" style="73" customWidth="1"/>
    <col min="1743" max="1743" width="11.7109375" style="73" customWidth="1"/>
    <col min="1744" max="1744" width="11.28515625" style="73" customWidth="1"/>
    <col min="1745" max="1745" width="7.5703125" style="73" customWidth="1"/>
    <col min="1746" max="1746" width="8.7109375" style="73" customWidth="1"/>
    <col min="1747" max="1747" width="10.85546875" style="73" customWidth="1"/>
    <col min="1748" max="1748" width="53.7109375" style="73" customWidth="1"/>
    <col min="1749" max="1749" width="47.85546875" style="73" customWidth="1"/>
    <col min="1750" max="1750" width="9.28515625" style="73" customWidth="1"/>
    <col min="1751" max="1751" width="10.5703125" style="73" customWidth="1"/>
    <col min="1752" max="1752" width="9.28515625" style="73" customWidth="1"/>
    <col min="1753" max="1753" width="11.140625" style="73" customWidth="1"/>
    <col min="1754" max="1754" width="10.5703125" style="73" customWidth="1"/>
    <col min="1755" max="1755" width="9.28515625" style="73" customWidth="1"/>
    <col min="1756" max="1756" width="11.28515625" style="73" customWidth="1"/>
    <col min="1757" max="1757" width="7.5703125" style="73" customWidth="1"/>
    <col min="1758" max="1758" width="11.140625" style="73" customWidth="1"/>
    <col min="1759" max="1759" width="11.85546875" style="73" customWidth="1"/>
    <col min="1760" max="1761" width="9.28515625" style="73" customWidth="1"/>
    <col min="1762" max="1762" width="12.5703125" style="73" customWidth="1"/>
    <col min="1763" max="1763" width="9.28515625" style="73" customWidth="1"/>
    <col min="1764" max="1764" width="9.28515625" style="73" bestFit="1" customWidth="1"/>
    <col min="1765" max="1765" width="11.28515625" style="73" bestFit="1" customWidth="1"/>
    <col min="1766" max="1766" width="9.28515625" style="73" bestFit="1" customWidth="1"/>
    <col min="1767" max="1767" width="10.85546875" style="73" customWidth="1"/>
    <col min="1768" max="1768" width="9.28515625" style="73" customWidth="1"/>
    <col min="1769" max="1769" width="10" style="73" customWidth="1"/>
    <col min="1770" max="1770" width="10.85546875" style="73" customWidth="1"/>
    <col min="1771" max="1771" width="9.42578125" style="73" customWidth="1"/>
    <col min="1772" max="1772" width="10" style="73" customWidth="1"/>
    <col min="1773" max="1773" width="9.42578125" style="73" bestFit="1" customWidth="1"/>
    <col min="1774" max="1774" width="10.28515625" style="73" bestFit="1" customWidth="1"/>
    <col min="1775" max="1775" width="9.42578125" style="73" customWidth="1"/>
    <col min="1776" max="1776" width="10" style="73" customWidth="1"/>
    <col min="1777" max="1777" width="9.42578125" style="73" bestFit="1" customWidth="1"/>
    <col min="1778" max="1778" width="11" style="73" customWidth="1"/>
    <col min="1779" max="1779" width="9.28515625" style="73" bestFit="1" customWidth="1"/>
    <col min="1780" max="1780" width="9.140625" style="73"/>
    <col min="1781" max="1781" width="9.42578125" style="73" bestFit="1" customWidth="1"/>
    <col min="1782" max="1782" width="9.140625" style="73"/>
    <col min="1783" max="1783" width="9.42578125" style="73" bestFit="1" customWidth="1"/>
    <col min="1784" max="1784" width="9.140625" style="73"/>
    <col min="1785" max="1786" width="9.42578125" style="73" bestFit="1" customWidth="1"/>
    <col min="1787" max="1787" width="9.140625" style="73"/>
    <col min="1788" max="1788" width="9.28515625" style="73" bestFit="1" customWidth="1"/>
    <col min="1789" max="1789" width="9.140625" style="73"/>
    <col min="1790" max="1791" width="9.42578125" style="73" bestFit="1" customWidth="1"/>
    <col min="1792" max="1991" width="9.140625" style="73"/>
    <col min="1992" max="1992" width="8.7109375" style="73" customWidth="1"/>
    <col min="1993" max="1993" width="8.85546875" style="73" bestFit="1" customWidth="1"/>
    <col min="1994" max="1994" width="12.42578125" style="73" customWidth="1"/>
    <col min="1995" max="1995" width="13.7109375" style="73" customWidth="1"/>
    <col min="1996" max="1996" width="15.85546875" style="73" customWidth="1"/>
    <col min="1997" max="1997" width="14.85546875" style="73" customWidth="1"/>
    <col min="1998" max="1998" width="17.140625" style="73" customWidth="1"/>
    <col min="1999" max="1999" width="11.7109375" style="73" customWidth="1"/>
    <col min="2000" max="2000" width="11.28515625" style="73" customWidth="1"/>
    <col min="2001" max="2001" width="7.5703125" style="73" customWidth="1"/>
    <col min="2002" max="2002" width="8.7109375" style="73" customWidth="1"/>
    <col min="2003" max="2003" width="10.85546875" style="73" customWidth="1"/>
    <col min="2004" max="2004" width="53.7109375" style="73" customWidth="1"/>
    <col min="2005" max="2005" width="47.85546875" style="73" customWidth="1"/>
    <col min="2006" max="2006" width="9.28515625" style="73" customWidth="1"/>
    <col min="2007" max="2007" width="10.5703125" style="73" customWidth="1"/>
    <col min="2008" max="2008" width="9.28515625" style="73" customWidth="1"/>
    <col min="2009" max="2009" width="11.140625" style="73" customWidth="1"/>
    <col min="2010" max="2010" width="10.5703125" style="73" customWidth="1"/>
    <col min="2011" max="2011" width="9.28515625" style="73" customWidth="1"/>
    <col min="2012" max="2012" width="11.28515625" style="73" customWidth="1"/>
    <col min="2013" max="2013" width="7.5703125" style="73" customWidth="1"/>
    <col min="2014" max="2014" width="11.140625" style="73" customWidth="1"/>
    <col min="2015" max="2015" width="11.85546875" style="73" customWidth="1"/>
    <col min="2016" max="2017" width="9.28515625" style="73" customWidth="1"/>
    <col min="2018" max="2018" width="12.5703125" style="73" customWidth="1"/>
    <col min="2019" max="2019" width="9.28515625" style="73" customWidth="1"/>
    <col min="2020" max="2020" width="9.28515625" style="73" bestFit="1" customWidth="1"/>
    <col min="2021" max="2021" width="11.28515625" style="73" bestFit="1" customWidth="1"/>
    <col min="2022" max="2022" width="9.28515625" style="73" bestFit="1" customWidth="1"/>
    <col min="2023" max="2023" width="10.85546875" style="73" customWidth="1"/>
    <col min="2024" max="2024" width="9.28515625" style="73" customWidth="1"/>
    <col min="2025" max="2025" width="10" style="73" customWidth="1"/>
    <col min="2026" max="2026" width="10.85546875" style="73" customWidth="1"/>
    <col min="2027" max="2027" width="9.42578125" style="73" customWidth="1"/>
    <col min="2028" max="2028" width="10" style="73" customWidth="1"/>
    <col min="2029" max="2029" width="9.42578125" style="73" bestFit="1" customWidth="1"/>
    <col min="2030" max="2030" width="10.28515625" style="73" bestFit="1" customWidth="1"/>
    <col min="2031" max="2031" width="9.42578125" style="73" customWidth="1"/>
    <col min="2032" max="2032" width="10" style="73" customWidth="1"/>
    <col min="2033" max="2033" width="9.42578125" style="73" bestFit="1" customWidth="1"/>
    <col min="2034" max="2034" width="11" style="73" customWidth="1"/>
    <col min="2035" max="2035" width="9.28515625" style="73" bestFit="1" customWidth="1"/>
    <col min="2036" max="2036" width="9.140625" style="73"/>
    <col min="2037" max="2037" width="9.42578125" style="73" bestFit="1" customWidth="1"/>
    <col min="2038" max="2038" width="9.140625" style="73"/>
    <col min="2039" max="2039" width="9.42578125" style="73" bestFit="1" customWidth="1"/>
    <col min="2040" max="2040" width="9.140625" style="73"/>
    <col min="2041" max="2042" width="9.42578125" style="73" bestFit="1" customWidth="1"/>
    <col min="2043" max="2043" width="9.140625" style="73"/>
    <col min="2044" max="2044" width="9.28515625" style="73" bestFit="1" customWidth="1"/>
    <col min="2045" max="2045" width="9.140625" style="73"/>
    <col min="2046" max="2047" width="9.42578125" style="73" bestFit="1" customWidth="1"/>
    <col min="2048" max="2247" width="9.140625" style="73"/>
    <col min="2248" max="2248" width="8.7109375" style="73" customWidth="1"/>
    <col min="2249" max="2249" width="8.85546875" style="73" bestFit="1" customWidth="1"/>
    <col min="2250" max="2250" width="12.42578125" style="73" customWidth="1"/>
    <col min="2251" max="2251" width="13.7109375" style="73" customWidth="1"/>
    <col min="2252" max="2252" width="15.85546875" style="73" customWidth="1"/>
    <col min="2253" max="2253" width="14.85546875" style="73" customWidth="1"/>
    <col min="2254" max="2254" width="17.140625" style="73" customWidth="1"/>
    <col min="2255" max="2255" width="11.7109375" style="73" customWidth="1"/>
    <col min="2256" max="2256" width="11.28515625" style="73" customWidth="1"/>
    <col min="2257" max="2257" width="7.5703125" style="73" customWidth="1"/>
    <col min="2258" max="2258" width="8.7109375" style="73" customWidth="1"/>
    <col min="2259" max="2259" width="10.85546875" style="73" customWidth="1"/>
    <col min="2260" max="2260" width="53.7109375" style="73" customWidth="1"/>
    <col min="2261" max="2261" width="47.85546875" style="73" customWidth="1"/>
    <col min="2262" max="2262" width="9.28515625" style="73" customWidth="1"/>
    <col min="2263" max="2263" width="10.5703125" style="73" customWidth="1"/>
    <col min="2264" max="2264" width="9.28515625" style="73" customWidth="1"/>
    <col min="2265" max="2265" width="11.140625" style="73" customWidth="1"/>
    <col min="2266" max="2266" width="10.5703125" style="73" customWidth="1"/>
    <col min="2267" max="2267" width="9.28515625" style="73" customWidth="1"/>
    <col min="2268" max="2268" width="11.28515625" style="73" customWidth="1"/>
    <col min="2269" max="2269" width="7.5703125" style="73" customWidth="1"/>
    <col min="2270" max="2270" width="11.140625" style="73" customWidth="1"/>
    <col min="2271" max="2271" width="11.85546875" style="73" customWidth="1"/>
    <col min="2272" max="2273" width="9.28515625" style="73" customWidth="1"/>
    <col min="2274" max="2274" width="12.5703125" style="73" customWidth="1"/>
    <col min="2275" max="2275" width="9.28515625" style="73" customWidth="1"/>
    <col min="2276" max="2276" width="9.28515625" style="73" bestFit="1" customWidth="1"/>
    <col min="2277" max="2277" width="11.28515625" style="73" bestFit="1" customWidth="1"/>
    <col min="2278" max="2278" width="9.28515625" style="73" bestFit="1" customWidth="1"/>
    <col min="2279" max="2279" width="10.85546875" style="73" customWidth="1"/>
    <col min="2280" max="2280" width="9.28515625" style="73" customWidth="1"/>
    <col min="2281" max="2281" width="10" style="73" customWidth="1"/>
    <col min="2282" max="2282" width="10.85546875" style="73" customWidth="1"/>
    <col min="2283" max="2283" width="9.42578125" style="73" customWidth="1"/>
    <col min="2284" max="2284" width="10" style="73" customWidth="1"/>
    <col min="2285" max="2285" width="9.42578125" style="73" bestFit="1" customWidth="1"/>
    <col min="2286" max="2286" width="10.28515625" style="73" bestFit="1" customWidth="1"/>
    <col min="2287" max="2287" width="9.42578125" style="73" customWidth="1"/>
    <col min="2288" max="2288" width="10" style="73" customWidth="1"/>
    <col min="2289" max="2289" width="9.42578125" style="73" bestFit="1" customWidth="1"/>
    <col min="2290" max="2290" width="11" style="73" customWidth="1"/>
    <col min="2291" max="2291" width="9.28515625" style="73" bestFit="1" customWidth="1"/>
    <col min="2292" max="2292" width="9.140625" style="73"/>
    <col min="2293" max="2293" width="9.42578125" style="73" bestFit="1" customWidth="1"/>
    <col min="2294" max="2294" width="9.140625" style="73"/>
    <col min="2295" max="2295" width="9.42578125" style="73" bestFit="1" customWidth="1"/>
    <col min="2296" max="2296" width="9.140625" style="73"/>
    <col min="2297" max="2298" width="9.42578125" style="73" bestFit="1" customWidth="1"/>
    <col min="2299" max="2299" width="9.140625" style="73"/>
    <col min="2300" max="2300" width="9.28515625" style="73" bestFit="1" customWidth="1"/>
    <col min="2301" max="2301" width="9.140625" style="73"/>
    <col min="2302" max="2303" width="9.42578125" style="73" bestFit="1" customWidth="1"/>
    <col min="2304" max="2503" width="9.140625" style="73"/>
    <col min="2504" max="2504" width="8.7109375" style="73" customWidth="1"/>
    <col min="2505" max="2505" width="8.85546875" style="73" bestFit="1" customWidth="1"/>
    <col min="2506" max="2506" width="12.42578125" style="73" customWidth="1"/>
    <col min="2507" max="2507" width="13.7109375" style="73" customWidth="1"/>
    <col min="2508" max="2508" width="15.85546875" style="73" customWidth="1"/>
    <col min="2509" max="2509" width="14.85546875" style="73" customWidth="1"/>
    <col min="2510" max="2510" width="17.140625" style="73" customWidth="1"/>
    <col min="2511" max="2511" width="11.7109375" style="73" customWidth="1"/>
    <col min="2512" max="2512" width="11.28515625" style="73" customWidth="1"/>
    <col min="2513" max="2513" width="7.5703125" style="73" customWidth="1"/>
    <col min="2514" max="2514" width="8.7109375" style="73" customWidth="1"/>
    <col min="2515" max="2515" width="10.85546875" style="73" customWidth="1"/>
    <col min="2516" max="2516" width="53.7109375" style="73" customWidth="1"/>
    <col min="2517" max="2517" width="47.85546875" style="73" customWidth="1"/>
    <col min="2518" max="2518" width="9.28515625" style="73" customWidth="1"/>
    <col min="2519" max="2519" width="10.5703125" style="73" customWidth="1"/>
    <col min="2520" max="2520" width="9.28515625" style="73" customWidth="1"/>
    <col min="2521" max="2521" width="11.140625" style="73" customWidth="1"/>
    <col min="2522" max="2522" width="10.5703125" style="73" customWidth="1"/>
    <col min="2523" max="2523" width="9.28515625" style="73" customWidth="1"/>
    <col min="2524" max="2524" width="11.28515625" style="73" customWidth="1"/>
    <col min="2525" max="2525" width="7.5703125" style="73" customWidth="1"/>
    <col min="2526" max="2526" width="11.140625" style="73" customWidth="1"/>
    <col min="2527" max="2527" width="11.85546875" style="73" customWidth="1"/>
    <col min="2528" max="2529" width="9.28515625" style="73" customWidth="1"/>
    <col min="2530" max="2530" width="12.5703125" style="73" customWidth="1"/>
    <col min="2531" max="2531" width="9.28515625" style="73" customWidth="1"/>
    <col min="2532" max="2532" width="9.28515625" style="73" bestFit="1" customWidth="1"/>
    <col min="2533" max="2533" width="11.28515625" style="73" bestFit="1" customWidth="1"/>
    <col min="2534" max="2534" width="9.28515625" style="73" bestFit="1" customWidth="1"/>
    <col min="2535" max="2535" width="10.85546875" style="73" customWidth="1"/>
    <col min="2536" max="2536" width="9.28515625" style="73" customWidth="1"/>
    <col min="2537" max="2537" width="10" style="73" customWidth="1"/>
    <col min="2538" max="2538" width="10.85546875" style="73" customWidth="1"/>
    <col min="2539" max="2539" width="9.42578125" style="73" customWidth="1"/>
    <col min="2540" max="2540" width="10" style="73" customWidth="1"/>
    <col min="2541" max="2541" width="9.42578125" style="73" bestFit="1" customWidth="1"/>
    <col min="2542" max="2542" width="10.28515625" style="73" bestFit="1" customWidth="1"/>
    <col min="2543" max="2543" width="9.42578125" style="73" customWidth="1"/>
    <col min="2544" max="2544" width="10" style="73" customWidth="1"/>
    <col min="2545" max="2545" width="9.42578125" style="73" bestFit="1" customWidth="1"/>
    <col min="2546" max="2546" width="11" style="73" customWidth="1"/>
    <col min="2547" max="2547" width="9.28515625" style="73" bestFit="1" customWidth="1"/>
    <col min="2548" max="2548" width="9.140625" style="73"/>
    <col min="2549" max="2549" width="9.42578125" style="73" bestFit="1" customWidth="1"/>
    <col min="2550" max="2550" width="9.140625" style="73"/>
    <col min="2551" max="2551" width="9.42578125" style="73" bestFit="1" customWidth="1"/>
    <col min="2552" max="2552" width="9.140625" style="73"/>
    <col min="2553" max="2554" width="9.42578125" style="73" bestFit="1" customWidth="1"/>
    <col min="2555" max="2555" width="9.140625" style="73"/>
    <col min="2556" max="2556" width="9.28515625" style="73" bestFit="1" customWidth="1"/>
    <col min="2557" max="2557" width="9.140625" style="73"/>
    <col min="2558" max="2559" width="9.42578125" style="73" bestFit="1" customWidth="1"/>
    <col min="2560" max="2759" width="9.140625" style="73"/>
    <col min="2760" max="2760" width="8.7109375" style="73" customWidth="1"/>
    <col min="2761" max="2761" width="8.85546875" style="73" bestFit="1" customWidth="1"/>
    <col min="2762" max="2762" width="12.42578125" style="73" customWidth="1"/>
    <col min="2763" max="2763" width="13.7109375" style="73" customWidth="1"/>
    <col min="2764" max="2764" width="15.85546875" style="73" customWidth="1"/>
    <col min="2765" max="2765" width="14.85546875" style="73" customWidth="1"/>
    <col min="2766" max="2766" width="17.140625" style="73" customWidth="1"/>
    <col min="2767" max="2767" width="11.7109375" style="73" customWidth="1"/>
    <col min="2768" max="2768" width="11.28515625" style="73" customWidth="1"/>
    <col min="2769" max="2769" width="7.5703125" style="73" customWidth="1"/>
    <col min="2770" max="2770" width="8.7109375" style="73" customWidth="1"/>
    <col min="2771" max="2771" width="10.85546875" style="73" customWidth="1"/>
    <col min="2772" max="2772" width="53.7109375" style="73" customWidth="1"/>
    <col min="2773" max="2773" width="47.85546875" style="73" customWidth="1"/>
    <col min="2774" max="2774" width="9.28515625" style="73" customWidth="1"/>
    <col min="2775" max="2775" width="10.5703125" style="73" customWidth="1"/>
    <col min="2776" max="2776" width="9.28515625" style="73" customWidth="1"/>
    <col min="2777" max="2777" width="11.140625" style="73" customWidth="1"/>
    <col min="2778" max="2778" width="10.5703125" style="73" customWidth="1"/>
    <col min="2779" max="2779" width="9.28515625" style="73" customWidth="1"/>
    <col min="2780" max="2780" width="11.28515625" style="73" customWidth="1"/>
    <col min="2781" max="2781" width="7.5703125" style="73" customWidth="1"/>
    <col min="2782" max="2782" width="11.140625" style="73" customWidth="1"/>
    <col min="2783" max="2783" width="11.85546875" style="73" customWidth="1"/>
    <col min="2784" max="2785" width="9.28515625" style="73" customWidth="1"/>
    <col min="2786" max="2786" width="12.5703125" style="73" customWidth="1"/>
    <col min="2787" max="2787" width="9.28515625" style="73" customWidth="1"/>
    <col min="2788" max="2788" width="9.28515625" style="73" bestFit="1" customWidth="1"/>
    <col min="2789" max="2789" width="11.28515625" style="73" bestFit="1" customWidth="1"/>
    <col min="2790" max="2790" width="9.28515625" style="73" bestFit="1" customWidth="1"/>
    <col min="2791" max="2791" width="10.85546875" style="73" customWidth="1"/>
    <col min="2792" max="2792" width="9.28515625" style="73" customWidth="1"/>
    <col min="2793" max="2793" width="10" style="73" customWidth="1"/>
    <col min="2794" max="2794" width="10.85546875" style="73" customWidth="1"/>
    <col min="2795" max="2795" width="9.42578125" style="73" customWidth="1"/>
    <col min="2796" max="2796" width="10" style="73" customWidth="1"/>
    <col min="2797" max="2797" width="9.42578125" style="73" bestFit="1" customWidth="1"/>
    <col min="2798" max="2798" width="10.28515625" style="73" bestFit="1" customWidth="1"/>
    <col min="2799" max="2799" width="9.42578125" style="73" customWidth="1"/>
    <col min="2800" max="2800" width="10" style="73" customWidth="1"/>
    <col min="2801" max="2801" width="9.42578125" style="73" bestFit="1" customWidth="1"/>
    <col min="2802" max="2802" width="11" style="73" customWidth="1"/>
    <col min="2803" max="2803" width="9.28515625" style="73" bestFit="1" customWidth="1"/>
    <col min="2804" max="2804" width="9.140625" style="73"/>
    <col min="2805" max="2805" width="9.42578125" style="73" bestFit="1" customWidth="1"/>
    <col min="2806" max="2806" width="9.140625" style="73"/>
    <col min="2807" max="2807" width="9.42578125" style="73" bestFit="1" customWidth="1"/>
    <col min="2808" max="2808" width="9.140625" style="73"/>
    <col min="2809" max="2810" width="9.42578125" style="73" bestFit="1" customWidth="1"/>
    <col min="2811" max="2811" width="9.140625" style="73"/>
    <col min="2812" max="2812" width="9.28515625" style="73" bestFit="1" customWidth="1"/>
    <col min="2813" max="2813" width="9.140625" style="73"/>
    <col min="2814" max="2815" width="9.42578125" style="73" bestFit="1" customWidth="1"/>
    <col min="2816" max="3015" width="9.140625" style="73"/>
    <col min="3016" max="3016" width="8.7109375" style="73" customWidth="1"/>
    <col min="3017" max="3017" width="8.85546875" style="73" bestFit="1" customWidth="1"/>
    <col min="3018" max="3018" width="12.42578125" style="73" customWidth="1"/>
    <col min="3019" max="3019" width="13.7109375" style="73" customWidth="1"/>
    <col min="3020" max="3020" width="15.85546875" style="73" customWidth="1"/>
    <col min="3021" max="3021" width="14.85546875" style="73" customWidth="1"/>
    <col min="3022" max="3022" width="17.140625" style="73" customWidth="1"/>
    <col min="3023" max="3023" width="11.7109375" style="73" customWidth="1"/>
    <col min="3024" max="3024" width="11.28515625" style="73" customWidth="1"/>
    <col min="3025" max="3025" width="7.5703125" style="73" customWidth="1"/>
    <col min="3026" max="3026" width="8.7109375" style="73" customWidth="1"/>
    <col min="3027" max="3027" width="10.85546875" style="73" customWidth="1"/>
    <col min="3028" max="3028" width="53.7109375" style="73" customWidth="1"/>
    <col min="3029" max="3029" width="47.85546875" style="73" customWidth="1"/>
    <col min="3030" max="3030" width="9.28515625" style="73" customWidth="1"/>
    <col min="3031" max="3031" width="10.5703125" style="73" customWidth="1"/>
    <col min="3032" max="3032" width="9.28515625" style="73" customWidth="1"/>
    <col min="3033" max="3033" width="11.140625" style="73" customWidth="1"/>
    <col min="3034" max="3034" width="10.5703125" style="73" customWidth="1"/>
    <col min="3035" max="3035" width="9.28515625" style="73" customWidth="1"/>
    <col min="3036" max="3036" width="11.28515625" style="73" customWidth="1"/>
    <col min="3037" max="3037" width="7.5703125" style="73" customWidth="1"/>
    <col min="3038" max="3038" width="11.140625" style="73" customWidth="1"/>
    <col min="3039" max="3039" width="11.85546875" style="73" customWidth="1"/>
    <col min="3040" max="3041" width="9.28515625" style="73" customWidth="1"/>
    <col min="3042" max="3042" width="12.5703125" style="73" customWidth="1"/>
    <col min="3043" max="3043" width="9.28515625" style="73" customWidth="1"/>
    <col min="3044" max="3044" width="9.28515625" style="73" bestFit="1" customWidth="1"/>
    <col min="3045" max="3045" width="11.28515625" style="73" bestFit="1" customWidth="1"/>
    <col min="3046" max="3046" width="9.28515625" style="73" bestFit="1" customWidth="1"/>
    <col min="3047" max="3047" width="10.85546875" style="73" customWidth="1"/>
    <col min="3048" max="3048" width="9.28515625" style="73" customWidth="1"/>
    <col min="3049" max="3049" width="10" style="73" customWidth="1"/>
    <col min="3050" max="3050" width="10.85546875" style="73" customWidth="1"/>
    <col min="3051" max="3051" width="9.42578125" style="73" customWidth="1"/>
    <col min="3052" max="3052" width="10" style="73" customWidth="1"/>
    <col min="3053" max="3053" width="9.42578125" style="73" bestFit="1" customWidth="1"/>
    <col min="3054" max="3054" width="10.28515625" style="73" bestFit="1" customWidth="1"/>
    <col min="3055" max="3055" width="9.42578125" style="73" customWidth="1"/>
    <col min="3056" max="3056" width="10" style="73" customWidth="1"/>
    <col min="3057" max="3057" width="9.42578125" style="73" bestFit="1" customWidth="1"/>
    <col min="3058" max="3058" width="11" style="73" customWidth="1"/>
    <col min="3059" max="3059" width="9.28515625" style="73" bestFit="1" customWidth="1"/>
    <col min="3060" max="3060" width="9.140625" style="73"/>
    <col min="3061" max="3061" width="9.42578125" style="73" bestFit="1" customWidth="1"/>
    <col min="3062" max="3062" width="9.140625" style="73"/>
    <col min="3063" max="3063" width="9.42578125" style="73" bestFit="1" customWidth="1"/>
    <col min="3064" max="3064" width="9.140625" style="73"/>
    <col min="3065" max="3066" width="9.42578125" style="73" bestFit="1" customWidth="1"/>
    <col min="3067" max="3067" width="9.140625" style="73"/>
    <col min="3068" max="3068" width="9.28515625" style="73" bestFit="1" customWidth="1"/>
    <col min="3069" max="3069" width="9.140625" style="73"/>
    <col min="3070" max="3071" width="9.42578125" style="73" bestFit="1" customWidth="1"/>
    <col min="3072" max="3271" width="9.140625" style="73"/>
    <col min="3272" max="3272" width="8.7109375" style="73" customWidth="1"/>
    <col min="3273" max="3273" width="8.85546875" style="73" bestFit="1" customWidth="1"/>
    <col min="3274" max="3274" width="12.42578125" style="73" customWidth="1"/>
    <col min="3275" max="3275" width="13.7109375" style="73" customWidth="1"/>
    <col min="3276" max="3276" width="15.85546875" style="73" customWidth="1"/>
    <col min="3277" max="3277" width="14.85546875" style="73" customWidth="1"/>
    <col min="3278" max="3278" width="17.140625" style="73" customWidth="1"/>
    <col min="3279" max="3279" width="11.7109375" style="73" customWidth="1"/>
    <col min="3280" max="3280" width="11.28515625" style="73" customWidth="1"/>
    <col min="3281" max="3281" width="7.5703125" style="73" customWidth="1"/>
    <col min="3282" max="3282" width="8.7109375" style="73" customWidth="1"/>
    <col min="3283" max="3283" width="10.85546875" style="73" customWidth="1"/>
    <col min="3284" max="3284" width="53.7109375" style="73" customWidth="1"/>
    <col min="3285" max="3285" width="47.85546875" style="73" customWidth="1"/>
    <col min="3286" max="3286" width="9.28515625" style="73" customWidth="1"/>
    <col min="3287" max="3287" width="10.5703125" style="73" customWidth="1"/>
    <col min="3288" max="3288" width="9.28515625" style="73" customWidth="1"/>
    <col min="3289" max="3289" width="11.140625" style="73" customWidth="1"/>
    <col min="3290" max="3290" width="10.5703125" style="73" customWidth="1"/>
    <col min="3291" max="3291" width="9.28515625" style="73" customWidth="1"/>
    <col min="3292" max="3292" width="11.28515625" style="73" customWidth="1"/>
    <col min="3293" max="3293" width="7.5703125" style="73" customWidth="1"/>
    <col min="3294" max="3294" width="11.140625" style="73" customWidth="1"/>
    <col min="3295" max="3295" width="11.85546875" style="73" customWidth="1"/>
    <col min="3296" max="3297" width="9.28515625" style="73" customWidth="1"/>
    <col min="3298" max="3298" width="12.5703125" style="73" customWidth="1"/>
    <col min="3299" max="3299" width="9.28515625" style="73" customWidth="1"/>
    <col min="3300" max="3300" width="9.28515625" style="73" bestFit="1" customWidth="1"/>
    <col min="3301" max="3301" width="11.28515625" style="73" bestFit="1" customWidth="1"/>
    <col min="3302" max="3302" width="9.28515625" style="73" bestFit="1" customWidth="1"/>
    <col min="3303" max="3303" width="10.85546875" style="73" customWidth="1"/>
    <col min="3304" max="3304" width="9.28515625" style="73" customWidth="1"/>
    <col min="3305" max="3305" width="10" style="73" customWidth="1"/>
    <col min="3306" max="3306" width="10.85546875" style="73" customWidth="1"/>
    <col min="3307" max="3307" width="9.42578125" style="73" customWidth="1"/>
    <col min="3308" max="3308" width="10" style="73" customWidth="1"/>
    <col min="3309" max="3309" width="9.42578125" style="73" bestFit="1" customWidth="1"/>
    <col min="3310" max="3310" width="10.28515625" style="73" bestFit="1" customWidth="1"/>
    <col min="3311" max="3311" width="9.42578125" style="73" customWidth="1"/>
    <col min="3312" max="3312" width="10" style="73" customWidth="1"/>
    <col min="3313" max="3313" width="9.42578125" style="73" bestFit="1" customWidth="1"/>
    <col min="3314" max="3314" width="11" style="73" customWidth="1"/>
    <col min="3315" max="3315" width="9.28515625" style="73" bestFit="1" customWidth="1"/>
    <col min="3316" max="3316" width="9.140625" style="73"/>
    <col min="3317" max="3317" width="9.42578125" style="73" bestFit="1" customWidth="1"/>
    <col min="3318" max="3318" width="9.140625" style="73"/>
    <col min="3319" max="3319" width="9.42578125" style="73" bestFit="1" customWidth="1"/>
    <col min="3320" max="3320" width="9.140625" style="73"/>
    <col min="3321" max="3322" width="9.42578125" style="73" bestFit="1" customWidth="1"/>
    <col min="3323" max="3323" width="9.140625" style="73"/>
    <col min="3324" max="3324" width="9.28515625" style="73" bestFit="1" customWidth="1"/>
    <col min="3325" max="3325" width="9.140625" style="73"/>
    <col min="3326" max="3327" width="9.42578125" style="73" bestFit="1" customWidth="1"/>
    <col min="3328" max="3527" width="9.140625" style="73"/>
    <col min="3528" max="3528" width="8.7109375" style="73" customWidth="1"/>
    <col min="3529" max="3529" width="8.85546875" style="73" bestFit="1" customWidth="1"/>
    <col min="3530" max="3530" width="12.42578125" style="73" customWidth="1"/>
    <col min="3531" max="3531" width="13.7109375" style="73" customWidth="1"/>
    <col min="3532" max="3532" width="15.85546875" style="73" customWidth="1"/>
    <col min="3533" max="3533" width="14.85546875" style="73" customWidth="1"/>
    <col min="3534" max="3534" width="17.140625" style="73" customWidth="1"/>
    <col min="3535" max="3535" width="11.7109375" style="73" customWidth="1"/>
    <col min="3536" max="3536" width="11.28515625" style="73" customWidth="1"/>
    <col min="3537" max="3537" width="7.5703125" style="73" customWidth="1"/>
    <col min="3538" max="3538" width="8.7109375" style="73" customWidth="1"/>
    <col min="3539" max="3539" width="10.85546875" style="73" customWidth="1"/>
    <col min="3540" max="3540" width="53.7109375" style="73" customWidth="1"/>
    <col min="3541" max="3541" width="47.85546875" style="73" customWidth="1"/>
    <col min="3542" max="3542" width="9.28515625" style="73" customWidth="1"/>
    <col min="3543" max="3543" width="10.5703125" style="73" customWidth="1"/>
    <col min="3544" max="3544" width="9.28515625" style="73" customWidth="1"/>
    <col min="3545" max="3545" width="11.140625" style="73" customWidth="1"/>
    <col min="3546" max="3546" width="10.5703125" style="73" customWidth="1"/>
    <col min="3547" max="3547" width="9.28515625" style="73" customWidth="1"/>
    <col min="3548" max="3548" width="11.28515625" style="73" customWidth="1"/>
    <col min="3549" max="3549" width="7.5703125" style="73" customWidth="1"/>
    <col min="3550" max="3550" width="11.140625" style="73" customWidth="1"/>
    <col min="3551" max="3551" width="11.85546875" style="73" customWidth="1"/>
    <col min="3552" max="3553" width="9.28515625" style="73" customWidth="1"/>
    <col min="3554" max="3554" width="12.5703125" style="73" customWidth="1"/>
    <col min="3555" max="3555" width="9.28515625" style="73" customWidth="1"/>
    <col min="3556" max="3556" width="9.28515625" style="73" bestFit="1" customWidth="1"/>
    <col min="3557" max="3557" width="11.28515625" style="73" bestFit="1" customWidth="1"/>
    <col min="3558" max="3558" width="9.28515625" style="73" bestFit="1" customWidth="1"/>
    <col min="3559" max="3559" width="10.85546875" style="73" customWidth="1"/>
    <col min="3560" max="3560" width="9.28515625" style="73" customWidth="1"/>
    <col min="3561" max="3561" width="10" style="73" customWidth="1"/>
    <col min="3562" max="3562" width="10.85546875" style="73" customWidth="1"/>
    <col min="3563" max="3563" width="9.42578125" style="73" customWidth="1"/>
    <col min="3564" max="3564" width="10" style="73" customWidth="1"/>
    <col min="3565" max="3565" width="9.42578125" style="73" bestFit="1" customWidth="1"/>
    <col min="3566" max="3566" width="10.28515625" style="73" bestFit="1" customWidth="1"/>
    <col min="3567" max="3567" width="9.42578125" style="73" customWidth="1"/>
    <col min="3568" max="3568" width="10" style="73" customWidth="1"/>
    <col min="3569" max="3569" width="9.42578125" style="73" bestFit="1" customWidth="1"/>
    <col min="3570" max="3570" width="11" style="73" customWidth="1"/>
    <col min="3571" max="3571" width="9.28515625" style="73" bestFit="1" customWidth="1"/>
    <col min="3572" max="3572" width="9.140625" style="73"/>
    <col min="3573" max="3573" width="9.42578125" style="73" bestFit="1" customWidth="1"/>
    <col min="3574" max="3574" width="9.140625" style="73"/>
    <col min="3575" max="3575" width="9.42578125" style="73" bestFit="1" customWidth="1"/>
    <col min="3576" max="3576" width="9.140625" style="73"/>
    <col min="3577" max="3578" width="9.42578125" style="73" bestFit="1" customWidth="1"/>
    <col min="3579" max="3579" width="9.140625" style="73"/>
    <col min="3580" max="3580" width="9.28515625" style="73" bestFit="1" customWidth="1"/>
    <col min="3581" max="3581" width="9.140625" style="73"/>
    <col min="3582" max="3583" width="9.42578125" style="73" bestFit="1" customWidth="1"/>
    <col min="3584" max="3783" width="9.140625" style="73"/>
    <col min="3784" max="3784" width="8.7109375" style="73" customWidth="1"/>
    <col min="3785" max="3785" width="8.85546875" style="73" bestFit="1" customWidth="1"/>
    <col min="3786" max="3786" width="12.42578125" style="73" customWidth="1"/>
    <col min="3787" max="3787" width="13.7109375" style="73" customWidth="1"/>
    <col min="3788" max="3788" width="15.85546875" style="73" customWidth="1"/>
    <col min="3789" max="3789" width="14.85546875" style="73" customWidth="1"/>
    <col min="3790" max="3790" width="17.140625" style="73" customWidth="1"/>
    <col min="3791" max="3791" width="11.7109375" style="73" customWidth="1"/>
    <col min="3792" max="3792" width="11.28515625" style="73" customWidth="1"/>
    <col min="3793" max="3793" width="7.5703125" style="73" customWidth="1"/>
    <col min="3794" max="3794" width="8.7109375" style="73" customWidth="1"/>
    <col min="3795" max="3795" width="10.85546875" style="73" customWidth="1"/>
    <col min="3796" max="3796" width="53.7109375" style="73" customWidth="1"/>
    <col min="3797" max="3797" width="47.85546875" style="73" customWidth="1"/>
    <col min="3798" max="3798" width="9.28515625" style="73" customWidth="1"/>
    <col min="3799" max="3799" width="10.5703125" style="73" customWidth="1"/>
    <col min="3800" max="3800" width="9.28515625" style="73" customWidth="1"/>
    <col min="3801" max="3801" width="11.140625" style="73" customWidth="1"/>
    <col min="3802" max="3802" width="10.5703125" style="73" customWidth="1"/>
    <col min="3803" max="3803" width="9.28515625" style="73" customWidth="1"/>
    <col min="3804" max="3804" width="11.28515625" style="73" customWidth="1"/>
    <col min="3805" max="3805" width="7.5703125" style="73" customWidth="1"/>
    <col min="3806" max="3806" width="11.140625" style="73" customWidth="1"/>
    <col min="3807" max="3807" width="11.85546875" style="73" customWidth="1"/>
    <col min="3808" max="3809" width="9.28515625" style="73" customWidth="1"/>
    <col min="3810" max="3810" width="12.5703125" style="73" customWidth="1"/>
    <col min="3811" max="3811" width="9.28515625" style="73" customWidth="1"/>
    <col min="3812" max="3812" width="9.28515625" style="73" bestFit="1" customWidth="1"/>
    <col min="3813" max="3813" width="11.28515625" style="73" bestFit="1" customWidth="1"/>
    <col min="3814" max="3814" width="9.28515625" style="73" bestFit="1" customWidth="1"/>
    <col min="3815" max="3815" width="10.85546875" style="73" customWidth="1"/>
    <col min="3816" max="3816" width="9.28515625" style="73" customWidth="1"/>
    <col min="3817" max="3817" width="10" style="73" customWidth="1"/>
    <col min="3818" max="3818" width="10.85546875" style="73" customWidth="1"/>
    <col min="3819" max="3819" width="9.42578125" style="73" customWidth="1"/>
    <col min="3820" max="3820" width="10" style="73" customWidth="1"/>
    <col min="3821" max="3821" width="9.42578125" style="73" bestFit="1" customWidth="1"/>
    <col min="3822" max="3822" width="10.28515625" style="73" bestFit="1" customWidth="1"/>
    <col min="3823" max="3823" width="9.42578125" style="73" customWidth="1"/>
    <col min="3824" max="3824" width="10" style="73" customWidth="1"/>
    <col min="3825" max="3825" width="9.42578125" style="73" bestFit="1" customWidth="1"/>
    <col min="3826" max="3826" width="11" style="73" customWidth="1"/>
    <col min="3827" max="3827" width="9.28515625" style="73" bestFit="1" customWidth="1"/>
    <col min="3828" max="3828" width="9.140625" style="73"/>
    <col min="3829" max="3829" width="9.42578125" style="73" bestFit="1" customWidth="1"/>
    <col min="3830" max="3830" width="9.140625" style="73"/>
    <col min="3831" max="3831" width="9.42578125" style="73" bestFit="1" customWidth="1"/>
    <col min="3832" max="3832" width="9.140625" style="73"/>
    <col min="3833" max="3834" width="9.42578125" style="73" bestFit="1" customWidth="1"/>
    <col min="3835" max="3835" width="9.140625" style="73"/>
    <col min="3836" max="3836" width="9.28515625" style="73" bestFit="1" customWidth="1"/>
    <col min="3837" max="3837" width="9.140625" style="73"/>
    <col min="3838" max="3839" width="9.42578125" style="73" bestFit="1" customWidth="1"/>
    <col min="3840" max="4039" width="9.140625" style="73"/>
    <col min="4040" max="4040" width="8.7109375" style="73" customWidth="1"/>
    <col min="4041" max="4041" width="8.85546875" style="73" bestFit="1" customWidth="1"/>
    <col min="4042" max="4042" width="12.42578125" style="73" customWidth="1"/>
    <col min="4043" max="4043" width="13.7109375" style="73" customWidth="1"/>
    <col min="4044" max="4044" width="15.85546875" style="73" customWidth="1"/>
    <col min="4045" max="4045" width="14.85546875" style="73" customWidth="1"/>
    <col min="4046" max="4046" width="17.140625" style="73" customWidth="1"/>
    <col min="4047" max="4047" width="11.7109375" style="73" customWidth="1"/>
    <col min="4048" max="4048" width="11.28515625" style="73" customWidth="1"/>
    <col min="4049" max="4049" width="7.5703125" style="73" customWidth="1"/>
    <col min="4050" max="4050" width="8.7109375" style="73" customWidth="1"/>
    <col min="4051" max="4051" width="10.85546875" style="73" customWidth="1"/>
    <col min="4052" max="4052" width="53.7109375" style="73" customWidth="1"/>
    <col min="4053" max="4053" width="47.85546875" style="73" customWidth="1"/>
    <col min="4054" max="4054" width="9.28515625" style="73" customWidth="1"/>
    <col min="4055" max="4055" width="10.5703125" style="73" customWidth="1"/>
    <col min="4056" max="4056" width="9.28515625" style="73" customWidth="1"/>
    <col min="4057" max="4057" width="11.140625" style="73" customWidth="1"/>
    <col min="4058" max="4058" width="10.5703125" style="73" customWidth="1"/>
    <col min="4059" max="4059" width="9.28515625" style="73" customWidth="1"/>
    <col min="4060" max="4060" width="11.28515625" style="73" customWidth="1"/>
    <col min="4061" max="4061" width="7.5703125" style="73" customWidth="1"/>
    <col min="4062" max="4062" width="11.140625" style="73" customWidth="1"/>
    <col min="4063" max="4063" width="11.85546875" style="73" customWidth="1"/>
    <col min="4064" max="4065" width="9.28515625" style="73" customWidth="1"/>
    <col min="4066" max="4066" width="12.5703125" style="73" customWidth="1"/>
    <col min="4067" max="4067" width="9.28515625" style="73" customWidth="1"/>
    <col min="4068" max="4068" width="9.28515625" style="73" bestFit="1" customWidth="1"/>
    <col min="4069" max="4069" width="11.28515625" style="73" bestFit="1" customWidth="1"/>
    <col min="4070" max="4070" width="9.28515625" style="73" bestFit="1" customWidth="1"/>
    <col min="4071" max="4071" width="10.85546875" style="73" customWidth="1"/>
    <col min="4072" max="4072" width="9.28515625" style="73" customWidth="1"/>
    <col min="4073" max="4073" width="10" style="73" customWidth="1"/>
    <col min="4074" max="4074" width="10.85546875" style="73" customWidth="1"/>
    <col min="4075" max="4075" width="9.42578125" style="73" customWidth="1"/>
    <col min="4076" max="4076" width="10" style="73" customWidth="1"/>
    <col min="4077" max="4077" width="9.42578125" style="73" bestFit="1" customWidth="1"/>
    <col min="4078" max="4078" width="10.28515625" style="73" bestFit="1" customWidth="1"/>
    <col min="4079" max="4079" width="9.42578125" style="73" customWidth="1"/>
    <col min="4080" max="4080" width="10" style="73" customWidth="1"/>
    <col min="4081" max="4081" width="9.42578125" style="73" bestFit="1" customWidth="1"/>
    <col min="4082" max="4082" width="11" style="73" customWidth="1"/>
    <col min="4083" max="4083" width="9.28515625" style="73" bestFit="1" customWidth="1"/>
    <col min="4084" max="4084" width="9.140625" style="73"/>
    <col min="4085" max="4085" width="9.42578125" style="73" bestFit="1" customWidth="1"/>
    <col min="4086" max="4086" width="9.140625" style="73"/>
    <col min="4087" max="4087" width="9.42578125" style="73" bestFit="1" customWidth="1"/>
    <col min="4088" max="4088" width="9.140625" style="73"/>
    <col min="4089" max="4090" width="9.42578125" style="73" bestFit="1" customWidth="1"/>
    <col min="4091" max="4091" width="9.140625" style="73"/>
    <col min="4092" max="4092" width="9.28515625" style="73" bestFit="1" customWidth="1"/>
    <col min="4093" max="4093" width="9.140625" style="73"/>
    <col min="4094" max="4095" width="9.42578125" style="73" bestFit="1" customWidth="1"/>
    <col min="4096" max="4295" width="9.140625" style="73"/>
    <col min="4296" max="4296" width="8.7109375" style="73" customWidth="1"/>
    <col min="4297" max="4297" width="8.85546875" style="73" bestFit="1" customWidth="1"/>
    <col min="4298" max="4298" width="12.42578125" style="73" customWidth="1"/>
    <col min="4299" max="4299" width="13.7109375" style="73" customWidth="1"/>
    <col min="4300" max="4300" width="15.85546875" style="73" customWidth="1"/>
    <col min="4301" max="4301" width="14.85546875" style="73" customWidth="1"/>
    <col min="4302" max="4302" width="17.140625" style="73" customWidth="1"/>
    <col min="4303" max="4303" width="11.7109375" style="73" customWidth="1"/>
    <col min="4304" max="4304" width="11.28515625" style="73" customWidth="1"/>
    <col min="4305" max="4305" width="7.5703125" style="73" customWidth="1"/>
    <col min="4306" max="4306" width="8.7109375" style="73" customWidth="1"/>
    <col min="4307" max="4307" width="10.85546875" style="73" customWidth="1"/>
    <col min="4308" max="4308" width="53.7109375" style="73" customWidth="1"/>
    <col min="4309" max="4309" width="47.85546875" style="73" customWidth="1"/>
    <col min="4310" max="4310" width="9.28515625" style="73" customWidth="1"/>
    <col min="4311" max="4311" width="10.5703125" style="73" customWidth="1"/>
    <col min="4312" max="4312" width="9.28515625" style="73" customWidth="1"/>
    <col min="4313" max="4313" width="11.140625" style="73" customWidth="1"/>
    <col min="4314" max="4314" width="10.5703125" style="73" customWidth="1"/>
    <col min="4315" max="4315" width="9.28515625" style="73" customWidth="1"/>
    <col min="4316" max="4316" width="11.28515625" style="73" customWidth="1"/>
    <col min="4317" max="4317" width="7.5703125" style="73" customWidth="1"/>
    <col min="4318" max="4318" width="11.140625" style="73" customWidth="1"/>
    <col min="4319" max="4319" width="11.85546875" style="73" customWidth="1"/>
    <col min="4320" max="4321" width="9.28515625" style="73" customWidth="1"/>
    <col min="4322" max="4322" width="12.5703125" style="73" customWidth="1"/>
    <col min="4323" max="4323" width="9.28515625" style="73" customWidth="1"/>
    <col min="4324" max="4324" width="9.28515625" style="73" bestFit="1" customWidth="1"/>
    <col min="4325" max="4325" width="11.28515625" style="73" bestFit="1" customWidth="1"/>
    <col min="4326" max="4326" width="9.28515625" style="73" bestFit="1" customWidth="1"/>
    <col min="4327" max="4327" width="10.85546875" style="73" customWidth="1"/>
    <col min="4328" max="4328" width="9.28515625" style="73" customWidth="1"/>
    <col min="4329" max="4329" width="10" style="73" customWidth="1"/>
    <col min="4330" max="4330" width="10.85546875" style="73" customWidth="1"/>
    <col min="4331" max="4331" width="9.42578125" style="73" customWidth="1"/>
    <col min="4332" max="4332" width="10" style="73" customWidth="1"/>
    <col min="4333" max="4333" width="9.42578125" style="73" bestFit="1" customWidth="1"/>
    <col min="4334" max="4334" width="10.28515625" style="73" bestFit="1" customWidth="1"/>
    <col min="4335" max="4335" width="9.42578125" style="73" customWidth="1"/>
    <col min="4336" max="4336" width="10" style="73" customWidth="1"/>
    <col min="4337" max="4337" width="9.42578125" style="73" bestFit="1" customWidth="1"/>
    <col min="4338" max="4338" width="11" style="73" customWidth="1"/>
    <col min="4339" max="4339" width="9.28515625" style="73" bestFit="1" customWidth="1"/>
    <col min="4340" max="4340" width="9.140625" style="73"/>
    <col min="4341" max="4341" width="9.42578125" style="73" bestFit="1" customWidth="1"/>
    <col min="4342" max="4342" width="9.140625" style="73"/>
    <col min="4343" max="4343" width="9.42578125" style="73" bestFit="1" customWidth="1"/>
    <col min="4344" max="4344" width="9.140625" style="73"/>
    <col min="4345" max="4346" width="9.42578125" style="73" bestFit="1" customWidth="1"/>
    <col min="4347" max="4347" width="9.140625" style="73"/>
    <col min="4348" max="4348" width="9.28515625" style="73" bestFit="1" customWidth="1"/>
    <col min="4349" max="4349" width="9.140625" style="73"/>
    <col min="4350" max="4351" width="9.42578125" style="73" bestFit="1" customWidth="1"/>
    <col min="4352" max="4551" width="9.140625" style="73"/>
    <col min="4552" max="4552" width="8.7109375" style="73" customWidth="1"/>
    <col min="4553" max="4553" width="8.85546875" style="73" bestFit="1" customWidth="1"/>
    <col min="4554" max="4554" width="12.42578125" style="73" customWidth="1"/>
    <col min="4555" max="4555" width="13.7109375" style="73" customWidth="1"/>
    <col min="4556" max="4556" width="15.85546875" style="73" customWidth="1"/>
    <col min="4557" max="4557" width="14.85546875" style="73" customWidth="1"/>
    <col min="4558" max="4558" width="17.140625" style="73" customWidth="1"/>
    <col min="4559" max="4559" width="11.7109375" style="73" customWidth="1"/>
    <col min="4560" max="4560" width="11.28515625" style="73" customWidth="1"/>
    <col min="4561" max="4561" width="7.5703125" style="73" customWidth="1"/>
    <col min="4562" max="4562" width="8.7109375" style="73" customWidth="1"/>
    <col min="4563" max="4563" width="10.85546875" style="73" customWidth="1"/>
    <col min="4564" max="4564" width="53.7109375" style="73" customWidth="1"/>
    <col min="4565" max="4565" width="47.85546875" style="73" customWidth="1"/>
    <col min="4566" max="4566" width="9.28515625" style="73" customWidth="1"/>
    <col min="4567" max="4567" width="10.5703125" style="73" customWidth="1"/>
    <col min="4568" max="4568" width="9.28515625" style="73" customWidth="1"/>
    <col min="4569" max="4569" width="11.140625" style="73" customWidth="1"/>
    <col min="4570" max="4570" width="10.5703125" style="73" customWidth="1"/>
    <col min="4571" max="4571" width="9.28515625" style="73" customWidth="1"/>
    <col min="4572" max="4572" width="11.28515625" style="73" customWidth="1"/>
    <col min="4573" max="4573" width="7.5703125" style="73" customWidth="1"/>
    <col min="4574" max="4574" width="11.140625" style="73" customWidth="1"/>
    <col min="4575" max="4575" width="11.85546875" style="73" customWidth="1"/>
    <col min="4576" max="4577" width="9.28515625" style="73" customWidth="1"/>
    <col min="4578" max="4578" width="12.5703125" style="73" customWidth="1"/>
    <col min="4579" max="4579" width="9.28515625" style="73" customWidth="1"/>
    <col min="4580" max="4580" width="9.28515625" style="73" bestFit="1" customWidth="1"/>
    <col min="4581" max="4581" width="11.28515625" style="73" bestFit="1" customWidth="1"/>
    <col min="4582" max="4582" width="9.28515625" style="73" bestFit="1" customWidth="1"/>
    <col min="4583" max="4583" width="10.85546875" style="73" customWidth="1"/>
    <col min="4584" max="4584" width="9.28515625" style="73" customWidth="1"/>
    <col min="4585" max="4585" width="10" style="73" customWidth="1"/>
    <col min="4586" max="4586" width="10.85546875" style="73" customWidth="1"/>
    <col min="4587" max="4587" width="9.42578125" style="73" customWidth="1"/>
    <col min="4588" max="4588" width="10" style="73" customWidth="1"/>
    <col min="4589" max="4589" width="9.42578125" style="73" bestFit="1" customWidth="1"/>
    <col min="4590" max="4590" width="10.28515625" style="73" bestFit="1" customWidth="1"/>
    <col min="4591" max="4591" width="9.42578125" style="73" customWidth="1"/>
    <col min="4592" max="4592" width="10" style="73" customWidth="1"/>
    <col min="4593" max="4593" width="9.42578125" style="73" bestFit="1" customWidth="1"/>
    <col min="4594" max="4594" width="11" style="73" customWidth="1"/>
    <col min="4595" max="4595" width="9.28515625" style="73" bestFit="1" customWidth="1"/>
    <col min="4596" max="4596" width="9.140625" style="73"/>
    <col min="4597" max="4597" width="9.42578125" style="73" bestFit="1" customWidth="1"/>
    <col min="4598" max="4598" width="9.140625" style="73"/>
    <col min="4599" max="4599" width="9.42578125" style="73" bestFit="1" customWidth="1"/>
    <col min="4600" max="4600" width="9.140625" style="73"/>
    <col min="4601" max="4602" width="9.42578125" style="73" bestFit="1" customWidth="1"/>
    <col min="4603" max="4603" width="9.140625" style="73"/>
    <col min="4604" max="4604" width="9.28515625" style="73" bestFit="1" customWidth="1"/>
    <col min="4605" max="4605" width="9.140625" style="73"/>
    <col min="4606" max="4607" width="9.42578125" style="73" bestFit="1" customWidth="1"/>
    <col min="4608" max="4807" width="9.140625" style="73"/>
    <col min="4808" max="4808" width="8.7109375" style="73" customWidth="1"/>
    <col min="4809" max="4809" width="8.85546875" style="73" bestFit="1" customWidth="1"/>
    <col min="4810" max="4810" width="12.42578125" style="73" customWidth="1"/>
    <col min="4811" max="4811" width="13.7109375" style="73" customWidth="1"/>
    <col min="4812" max="4812" width="15.85546875" style="73" customWidth="1"/>
    <col min="4813" max="4813" width="14.85546875" style="73" customWidth="1"/>
    <col min="4814" max="4814" width="17.140625" style="73" customWidth="1"/>
    <col min="4815" max="4815" width="11.7109375" style="73" customWidth="1"/>
    <col min="4816" max="4816" width="11.28515625" style="73" customWidth="1"/>
    <col min="4817" max="4817" width="7.5703125" style="73" customWidth="1"/>
    <col min="4818" max="4818" width="8.7109375" style="73" customWidth="1"/>
    <col min="4819" max="4819" width="10.85546875" style="73" customWidth="1"/>
    <col min="4820" max="4820" width="53.7109375" style="73" customWidth="1"/>
    <col min="4821" max="4821" width="47.85546875" style="73" customWidth="1"/>
    <col min="4822" max="4822" width="9.28515625" style="73" customWidth="1"/>
    <col min="4823" max="4823" width="10.5703125" style="73" customWidth="1"/>
    <col min="4824" max="4824" width="9.28515625" style="73" customWidth="1"/>
    <col min="4825" max="4825" width="11.140625" style="73" customWidth="1"/>
    <col min="4826" max="4826" width="10.5703125" style="73" customWidth="1"/>
    <col min="4827" max="4827" width="9.28515625" style="73" customWidth="1"/>
    <col min="4828" max="4828" width="11.28515625" style="73" customWidth="1"/>
    <col min="4829" max="4829" width="7.5703125" style="73" customWidth="1"/>
    <col min="4830" max="4830" width="11.140625" style="73" customWidth="1"/>
    <col min="4831" max="4831" width="11.85546875" style="73" customWidth="1"/>
    <col min="4832" max="4833" width="9.28515625" style="73" customWidth="1"/>
    <col min="4834" max="4834" width="12.5703125" style="73" customWidth="1"/>
    <col min="4835" max="4835" width="9.28515625" style="73" customWidth="1"/>
    <col min="4836" max="4836" width="9.28515625" style="73" bestFit="1" customWidth="1"/>
    <col min="4837" max="4837" width="11.28515625" style="73" bestFit="1" customWidth="1"/>
    <col min="4838" max="4838" width="9.28515625" style="73" bestFit="1" customWidth="1"/>
    <col min="4839" max="4839" width="10.85546875" style="73" customWidth="1"/>
    <col min="4840" max="4840" width="9.28515625" style="73" customWidth="1"/>
    <col min="4841" max="4841" width="10" style="73" customWidth="1"/>
    <col min="4842" max="4842" width="10.85546875" style="73" customWidth="1"/>
    <col min="4843" max="4843" width="9.42578125" style="73" customWidth="1"/>
    <col min="4844" max="4844" width="10" style="73" customWidth="1"/>
    <col min="4845" max="4845" width="9.42578125" style="73" bestFit="1" customWidth="1"/>
    <col min="4846" max="4846" width="10.28515625" style="73" bestFit="1" customWidth="1"/>
    <col min="4847" max="4847" width="9.42578125" style="73" customWidth="1"/>
    <col min="4848" max="4848" width="10" style="73" customWidth="1"/>
    <col min="4849" max="4849" width="9.42578125" style="73" bestFit="1" customWidth="1"/>
    <col min="4850" max="4850" width="11" style="73" customWidth="1"/>
    <col min="4851" max="4851" width="9.28515625" style="73" bestFit="1" customWidth="1"/>
    <col min="4852" max="4852" width="9.140625" style="73"/>
    <col min="4853" max="4853" width="9.42578125" style="73" bestFit="1" customWidth="1"/>
    <col min="4854" max="4854" width="9.140625" style="73"/>
    <col min="4855" max="4855" width="9.42578125" style="73" bestFit="1" customWidth="1"/>
    <col min="4856" max="4856" width="9.140625" style="73"/>
    <col min="4857" max="4858" width="9.42578125" style="73" bestFit="1" customWidth="1"/>
    <col min="4859" max="4859" width="9.140625" style="73"/>
    <col min="4860" max="4860" width="9.28515625" style="73" bestFit="1" customWidth="1"/>
    <col min="4861" max="4861" width="9.140625" style="73"/>
    <col min="4862" max="4863" width="9.42578125" style="73" bestFit="1" customWidth="1"/>
    <col min="4864" max="5063" width="9.140625" style="73"/>
    <col min="5064" max="5064" width="8.7109375" style="73" customWidth="1"/>
    <col min="5065" max="5065" width="8.85546875" style="73" bestFit="1" customWidth="1"/>
    <col min="5066" max="5066" width="12.42578125" style="73" customWidth="1"/>
    <col min="5067" max="5067" width="13.7109375" style="73" customWidth="1"/>
    <col min="5068" max="5068" width="15.85546875" style="73" customWidth="1"/>
    <col min="5069" max="5069" width="14.85546875" style="73" customWidth="1"/>
    <col min="5070" max="5070" width="17.140625" style="73" customWidth="1"/>
    <col min="5071" max="5071" width="11.7109375" style="73" customWidth="1"/>
    <col min="5072" max="5072" width="11.28515625" style="73" customWidth="1"/>
    <col min="5073" max="5073" width="7.5703125" style="73" customWidth="1"/>
    <col min="5074" max="5074" width="8.7109375" style="73" customWidth="1"/>
    <col min="5075" max="5075" width="10.85546875" style="73" customWidth="1"/>
    <col min="5076" max="5076" width="53.7109375" style="73" customWidth="1"/>
    <col min="5077" max="5077" width="47.85546875" style="73" customWidth="1"/>
    <col min="5078" max="5078" width="9.28515625" style="73" customWidth="1"/>
    <col min="5079" max="5079" width="10.5703125" style="73" customWidth="1"/>
    <col min="5080" max="5080" width="9.28515625" style="73" customWidth="1"/>
    <col min="5081" max="5081" width="11.140625" style="73" customWidth="1"/>
    <col min="5082" max="5082" width="10.5703125" style="73" customWidth="1"/>
    <col min="5083" max="5083" width="9.28515625" style="73" customWidth="1"/>
    <col min="5084" max="5084" width="11.28515625" style="73" customWidth="1"/>
    <col min="5085" max="5085" width="7.5703125" style="73" customWidth="1"/>
    <col min="5086" max="5086" width="11.140625" style="73" customWidth="1"/>
    <col min="5087" max="5087" width="11.85546875" style="73" customWidth="1"/>
    <col min="5088" max="5089" width="9.28515625" style="73" customWidth="1"/>
    <col min="5090" max="5090" width="12.5703125" style="73" customWidth="1"/>
    <col min="5091" max="5091" width="9.28515625" style="73" customWidth="1"/>
    <col min="5092" max="5092" width="9.28515625" style="73" bestFit="1" customWidth="1"/>
    <col min="5093" max="5093" width="11.28515625" style="73" bestFit="1" customWidth="1"/>
    <col min="5094" max="5094" width="9.28515625" style="73" bestFit="1" customWidth="1"/>
    <col min="5095" max="5095" width="10.85546875" style="73" customWidth="1"/>
    <col min="5096" max="5096" width="9.28515625" style="73" customWidth="1"/>
    <col min="5097" max="5097" width="10" style="73" customWidth="1"/>
    <col min="5098" max="5098" width="10.85546875" style="73" customWidth="1"/>
    <col min="5099" max="5099" width="9.42578125" style="73" customWidth="1"/>
    <col min="5100" max="5100" width="10" style="73" customWidth="1"/>
    <col min="5101" max="5101" width="9.42578125" style="73" bestFit="1" customWidth="1"/>
    <col min="5102" max="5102" width="10.28515625" style="73" bestFit="1" customWidth="1"/>
    <col min="5103" max="5103" width="9.42578125" style="73" customWidth="1"/>
    <col min="5104" max="5104" width="10" style="73" customWidth="1"/>
    <col min="5105" max="5105" width="9.42578125" style="73" bestFit="1" customWidth="1"/>
    <col min="5106" max="5106" width="11" style="73" customWidth="1"/>
    <col min="5107" max="5107" width="9.28515625" style="73" bestFit="1" customWidth="1"/>
    <col min="5108" max="5108" width="9.140625" style="73"/>
    <col min="5109" max="5109" width="9.42578125" style="73" bestFit="1" customWidth="1"/>
    <col min="5110" max="5110" width="9.140625" style="73"/>
    <col min="5111" max="5111" width="9.42578125" style="73" bestFit="1" customWidth="1"/>
    <col min="5112" max="5112" width="9.140625" style="73"/>
    <col min="5113" max="5114" width="9.42578125" style="73" bestFit="1" customWidth="1"/>
    <col min="5115" max="5115" width="9.140625" style="73"/>
    <col min="5116" max="5116" width="9.28515625" style="73" bestFit="1" customWidth="1"/>
    <col min="5117" max="5117" width="9.140625" style="73"/>
    <col min="5118" max="5119" width="9.42578125" style="73" bestFit="1" customWidth="1"/>
    <col min="5120" max="5319" width="9.140625" style="73"/>
    <col min="5320" max="5320" width="8.7109375" style="73" customWidth="1"/>
    <col min="5321" max="5321" width="8.85546875" style="73" bestFit="1" customWidth="1"/>
    <col min="5322" max="5322" width="12.42578125" style="73" customWidth="1"/>
    <col min="5323" max="5323" width="13.7109375" style="73" customWidth="1"/>
    <col min="5324" max="5324" width="15.85546875" style="73" customWidth="1"/>
    <col min="5325" max="5325" width="14.85546875" style="73" customWidth="1"/>
    <col min="5326" max="5326" width="17.140625" style="73" customWidth="1"/>
    <col min="5327" max="5327" width="11.7109375" style="73" customWidth="1"/>
    <col min="5328" max="5328" width="11.28515625" style="73" customWidth="1"/>
    <col min="5329" max="5329" width="7.5703125" style="73" customWidth="1"/>
    <col min="5330" max="5330" width="8.7109375" style="73" customWidth="1"/>
    <col min="5331" max="5331" width="10.85546875" style="73" customWidth="1"/>
    <col min="5332" max="5332" width="53.7109375" style="73" customWidth="1"/>
    <col min="5333" max="5333" width="47.85546875" style="73" customWidth="1"/>
    <col min="5334" max="5334" width="9.28515625" style="73" customWidth="1"/>
    <col min="5335" max="5335" width="10.5703125" style="73" customWidth="1"/>
    <col min="5336" max="5336" width="9.28515625" style="73" customWidth="1"/>
    <col min="5337" max="5337" width="11.140625" style="73" customWidth="1"/>
    <col min="5338" max="5338" width="10.5703125" style="73" customWidth="1"/>
    <col min="5339" max="5339" width="9.28515625" style="73" customWidth="1"/>
    <col min="5340" max="5340" width="11.28515625" style="73" customWidth="1"/>
    <col min="5341" max="5341" width="7.5703125" style="73" customWidth="1"/>
    <col min="5342" max="5342" width="11.140625" style="73" customWidth="1"/>
    <col min="5343" max="5343" width="11.85546875" style="73" customWidth="1"/>
    <col min="5344" max="5345" width="9.28515625" style="73" customWidth="1"/>
    <col min="5346" max="5346" width="12.5703125" style="73" customWidth="1"/>
    <col min="5347" max="5347" width="9.28515625" style="73" customWidth="1"/>
    <col min="5348" max="5348" width="9.28515625" style="73" bestFit="1" customWidth="1"/>
    <col min="5349" max="5349" width="11.28515625" style="73" bestFit="1" customWidth="1"/>
    <col min="5350" max="5350" width="9.28515625" style="73" bestFit="1" customWidth="1"/>
    <col min="5351" max="5351" width="10.85546875" style="73" customWidth="1"/>
    <col min="5352" max="5352" width="9.28515625" style="73" customWidth="1"/>
    <col min="5353" max="5353" width="10" style="73" customWidth="1"/>
    <col min="5354" max="5354" width="10.85546875" style="73" customWidth="1"/>
    <col min="5355" max="5355" width="9.42578125" style="73" customWidth="1"/>
    <col min="5356" max="5356" width="10" style="73" customWidth="1"/>
    <col min="5357" max="5357" width="9.42578125" style="73" bestFit="1" customWidth="1"/>
    <col min="5358" max="5358" width="10.28515625" style="73" bestFit="1" customWidth="1"/>
    <col min="5359" max="5359" width="9.42578125" style="73" customWidth="1"/>
    <col min="5360" max="5360" width="10" style="73" customWidth="1"/>
    <col min="5361" max="5361" width="9.42578125" style="73" bestFit="1" customWidth="1"/>
    <col min="5362" max="5362" width="11" style="73" customWidth="1"/>
    <col min="5363" max="5363" width="9.28515625" style="73" bestFit="1" customWidth="1"/>
    <col min="5364" max="5364" width="9.140625" style="73"/>
    <col min="5365" max="5365" width="9.42578125" style="73" bestFit="1" customWidth="1"/>
    <col min="5366" max="5366" width="9.140625" style="73"/>
    <col min="5367" max="5367" width="9.42578125" style="73" bestFit="1" customWidth="1"/>
    <col min="5368" max="5368" width="9.140625" style="73"/>
    <col min="5369" max="5370" width="9.42578125" style="73" bestFit="1" customWidth="1"/>
    <col min="5371" max="5371" width="9.140625" style="73"/>
    <col min="5372" max="5372" width="9.28515625" style="73" bestFit="1" customWidth="1"/>
    <col min="5373" max="5373" width="9.140625" style="73"/>
    <col min="5374" max="5375" width="9.42578125" style="73" bestFit="1" customWidth="1"/>
    <col min="5376" max="5575" width="9.140625" style="73"/>
    <col min="5576" max="5576" width="8.7109375" style="73" customWidth="1"/>
    <col min="5577" max="5577" width="8.85546875" style="73" bestFit="1" customWidth="1"/>
    <col min="5578" max="5578" width="12.42578125" style="73" customWidth="1"/>
    <col min="5579" max="5579" width="13.7109375" style="73" customWidth="1"/>
    <col min="5580" max="5580" width="15.85546875" style="73" customWidth="1"/>
    <col min="5581" max="5581" width="14.85546875" style="73" customWidth="1"/>
    <col min="5582" max="5582" width="17.140625" style="73" customWidth="1"/>
    <col min="5583" max="5583" width="11.7109375" style="73" customWidth="1"/>
    <col min="5584" max="5584" width="11.28515625" style="73" customWidth="1"/>
    <col min="5585" max="5585" width="7.5703125" style="73" customWidth="1"/>
    <col min="5586" max="5586" width="8.7109375" style="73" customWidth="1"/>
    <col min="5587" max="5587" width="10.85546875" style="73" customWidth="1"/>
    <col min="5588" max="5588" width="53.7109375" style="73" customWidth="1"/>
    <col min="5589" max="5589" width="47.85546875" style="73" customWidth="1"/>
    <col min="5590" max="5590" width="9.28515625" style="73" customWidth="1"/>
    <col min="5591" max="5591" width="10.5703125" style="73" customWidth="1"/>
    <col min="5592" max="5592" width="9.28515625" style="73" customWidth="1"/>
    <col min="5593" max="5593" width="11.140625" style="73" customWidth="1"/>
    <col min="5594" max="5594" width="10.5703125" style="73" customWidth="1"/>
    <col min="5595" max="5595" width="9.28515625" style="73" customWidth="1"/>
    <col min="5596" max="5596" width="11.28515625" style="73" customWidth="1"/>
    <col min="5597" max="5597" width="7.5703125" style="73" customWidth="1"/>
    <col min="5598" max="5598" width="11.140625" style="73" customWidth="1"/>
    <col min="5599" max="5599" width="11.85546875" style="73" customWidth="1"/>
    <col min="5600" max="5601" width="9.28515625" style="73" customWidth="1"/>
    <col min="5602" max="5602" width="12.5703125" style="73" customWidth="1"/>
    <col min="5603" max="5603" width="9.28515625" style="73" customWidth="1"/>
    <col min="5604" max="5604" width="9.28515625" style="73" bestFit="1" customWidth="1"/>
    <col min="5605" max="5605" width="11.28515625" style="73" bestFit="1" customWidth="1"/>
    <col min="5606" max="5606" width="9.28515625" style="73" bestFit="1" customWidth="1"/>
    <col min="5607" max="5607" width="10.85546875" style="73" customWidth="1"/>
    <col min="5608" max="5608" width="9.28515625" style="73" customWidth="1"/>
    <col min="5609" max="5609" width="10" style="73" customWidth="1"/>
    <col min="5610" max="5610" width="10.85546875" style="73" customWidth="1"/>
    <col min="5611" max="5611" width="9.42578125" style="73" customWidth="1"/>
    <col min="5612" max="5612" width="10" style="73" customWidth="1"/>
    <col min="5613" max="5613" width="9.42578125" style="73" bestFit="1" customWidth="1"/>
    <col min="5614" max="5614" width="10.28515625" style="73" bestFit="1" customWidth="1"/>
    <col min="5615" max="5615" width="9.42578125" style="73" customWidth="1"/>
    <col min="5616" max="5616" width="10" style="73" customWidth="1"/>
    <col min="5617" max="5617" width="9.42578125" style="73" bestFit="1" customWidth="1"/>
    <col min="5618" max="5618" width="11" style="73" customWidth="1"/>
    <col min="5619" max="5619" width="9.28515625" style="73" bestFit="1" customWidth="1"/>
    <col min="5620" max="5620" width="9.140625" style="73"/>
    <col min="5621" max="5621" width="9.42578125" style="73" bestFit="1" customWidth="1"/>
    <col min="5622" max="5622" width="9.140625" style="73"/>
    <col min="5623" max="5623" width="9.42578125" style="73" bestFit="1" customWidth="1"/>
    <col min="5624" max="5624" width="9.140625" style="73"/>
    <col min="5625" max="5626" width="9.42578125" style="73" bestFit="1" customWidth="1"/>
    <col min="5627" max="5627" width="9.140625" style="73"/>
    <col min="5628" max="5628" width="9.28515625" style="73" bestFit="1" customWidth="1"/>
    <col min="5629" max="5629" width="9.140625" style="73"/>
    <col min="5630" max="5631" width="9.42578125" style="73" bestFit="1" customWidth="1"/>
    <col min="5632" max="5831" width="9.140625" style="73"/>
    <col min="5832" max="5832" width="8.7109375" style="73" customWidth="1"/>
    <col min="5833" max="5833" width="8.85546875" style="73" bestFit="1" customWidth="1"/>
    <col min="5834" max="5834" width="12.42578125" style="73" customWidth="1"/>
    <col min="5835" max="5835" width="13.7109375" style="73" customWidth="1"/>
    <col min="5836" max="5836" width="15.85546875" style="73" customWidth="1"/>
    <col min="5837" max="5837" width="14.85546875" style="73" customWidth="1"/>
    <col min="5838" max="5838" width="17.140625" style="73" customWidth="1"/>
    <col min="5839" max="5839" width="11.7109375" style="73" customWidth="1"/>
    <col min="5840" max="5840" width="11.28515625" style="73" customWidth="1"/>
    <col min="5841" max="5841" width="7.5703125" style="73" customWidth="1"/>
    <col min="5842" max="5842" width="8.7109375" style="73" customWidth="1"/>
    <col min="5843" max="5843" width="10.85546875" style="73" customWidth="1"/>
    <col min="5844" max="5844" width="53.7109375" style="73" customWidth="1"/>
    <col min="5845" max="5845" width="47.85546875" style="73" customWidth="1"/>
    <col min="5846" max="5846" width="9.28515625" style="73" customWidth="1"/>
    <col min="5847" max="5847" width="10.5703125" style="73" customWidth="1"/>
    <col min="5848" max="5848" width="9.28515625" style="73" customWidth="1"/>
    <col min="5849" max="5849" width="11.140625" style="73" customWidth="1"/>
    <col min="5850" max="5850" width="10.5703125" style="73" customWidth="1"/>
    <col min="5851" max="5851" width="9.28515625" style="73" customWidth="1"/>
    <col min="5852" max="5852" width="11.28515625" style="73" customWidth="1"/>
    <col min="5853" max="5853" width="7.5703125" style="73" customWidth="1"/>
    <col min="5854" max="5854" width="11.140625" style="73" customWidth="1"/>
    <col min="5855" max="5855" width="11.85546875" style="73" customWidth="1"/>
    <col min="5856" max="5857" width="9.28515625" style="73" customWidth="1"/>
    <col min="5858" max="5858" width="12.5703125" style="73" customWidth="1"/>
    <col min="5859" max="5859" width="9.28515625" style="73" customWidth="1"/>
    <col min="5860" max="5860" width="9.28515625" style="73" bestFit="1" customWidth="1"/>
    <col min="5861" max="5861" width="11.28515625" style="73" bestFit="1" customWidth="1"/>
    <col min="5862" max="5862" width="9.28515625" style="73" bestFit="1" customWidth="1"/>
    <col min="5863" max="5863" width="10.85546875" style="73" customWidth="1"/>
    <col min="5864" max="5864" width="9.28515625" style="73" customWidth="1"/>
    <col min="5865" max="5865" width="10" style="73" customWidth="1"/>
    <col min="5866" max="5866" width="10.85546875" style="73" customWidth="1"/>
    <col min="5867" max="5867" width="9.42578125" style="73" customWidth="1"/>
    <col min="5868" max="5868" width="10" style="73" customWidth="1"/>
    <col min="5869" max="5869" width="9.42578125" style="73" bestFit="1" customWidth="1"/>
    <col min="5870" max="5870" width="10.28515625" style="73" bestFit="1" customWidth="1"/>
    <col min="5871" max="5871" width="9.42578125" style="73" customWidth="1"/>
    <col min="5872" max="5872" width="10" style="73" customWidth="1"/>
    <col min="5873" max="5873" width="9.42578125" style="73" bestFit="1" customWidth="1"/>
    <col min="5874" max="5874" width="11" style="73" customWidth="1"/>
    <col min="5875" max="5875" width="9.28515625" style="73" bestFit="1" customWidth="1"/>
    <col min="5876" max="5876" width="9.140625" style="73"/>
    <col min="5877" max="5877" width="9.42578125" style="73" bestFit="1" customWidth="1"/>
    <col min="5878" max="5878" width="9.140625" style="73"/>
    <col min="5879" max="5879" width="9.42578125" style="73" bestFit="1" customWidth="1"/>
    <col min="5880" max="5880" width="9.140625" style="73"/>
    <col min="5881" max="5882" width="9.42578125" style="73" bestFit="1" customWidth="1"/>
    <col min="5883" max="5883" width="9.140625" style="73"/>
    <col min="5884" max="5884" width="9.28515625" style="73" bestFit="1" customWidth="1"/>
    <col min="5885" max="5885" width="9.140625" style="73"/>
    <col min="5886" max="5887" width="9.42578125" style="73" bestFit="1" customWidth="1"/>
    <col min="5888" max="6087" width="9.140625" style="73"/>
    <col min="6088" max="6088" width="8.7109375" style="73" customWidth="1"/>
    <col min="6089" max="6089" width="8.85546875" style="73" bestFit="1" customWidth="1"/>
    <col min="6090" max="6090" width="12.42578125" style="73" customWidth="1"/>
    <col min="6091" max="6091" width="13.7109375" style="73" customWidth="1"/>
    <col min="6092" max="6092" width="15.85546875" style="73" customWidth="1"/>
    <col min="6093" max="6093" width="14.85546875" style="73" customWidth="1"/>
    <col min="6094" max="6094" width="17.140625" style="73" customWidth="1"/>
    <col min="6095" max="6095" width="11.7109375" style="73" customWidth="1"/>
    <col min="6096" max="6096" width="11.28515625" style="73" customWidth="1"/>
    <col min="6097" max="6097" width="7.5703125" style="73" customWidth="1"/>
    <col min="6098" max="6098" width="8.7109375" style="73" customWidth="1"/>
    <col min="6099" max="6099" width="10.85546875" style="73" customWidth="1"/>
    <col min="6100" max="6100" width="53.7109375" style="73" customWidth="1"/>
    <col min="6101" max="6101" width="47.85546875" style="73" customWidth="1"/>
    <col min="6102" max="6102" width="9.28515625" style="73" customWidth="1"/>
    <col min="6103" max="6103" width="10.5703125" style="73" customWidth="1"/>
    <col min="6104" max="6104" width="9.28515625" style="73" customWidth="1"/>
    <col min="6105" max="6105" width="11.140625" style="73" customWidth="1"/>
    <col min="6106" max="6106" width="10.5703125" style="73" customWidth="1"/>
    <col min="6107" max="6107" width="9.28515625" style="73" customWidth="1"/>
    <col min="6108" max="6108" width="11.28515625" style="73" customWidth="1"/>
    <col min="6109" max="6109" width="7.5703125" style="73" customWidth="1"/>
    <col min="6110" max="6110" width="11.140625" style="73" customWidth="1"/>
    <col min="6111" max="6111" width="11.85546875" style="73" customWidth="1"/>
    <col min="6112" max="6113" width="9.28515625" style="73" customWidth="1"/>
    <col min="6114" max="6114" width="12.5703125" style="73" customWidth="1"/>
    <col min="6115" max="6115" width="9.28515625" style="73" customWidth="1"/>
    <col min="6116" max="6116" width="9.28515625" style="73" bestFit="1" customWidth="1"/>
    <col min="6117" max="6117" width="11.28515625" style="73" bestFit="1" customWidth="1"/>
    <col min="6118" max="6118" width="9.28515625" style="73" bestFit="1" customWidth="1"/>
    <col min="6119" max="6119" width="10.85546875" style="73" customWidth="1"/>
    <col min="6120" max="6120" width="9.28515625" style="73" customWidth="1"/>
    <col min="6121" max="6121" width="10" style="73" customWidth="1"/>
    <col min="6122" max="6122" width="10.85546875" style="73" customWidth="1"/>
    <col min="6123" max="6123" width="9.42578125" style="73" customWidth="1"/>
    <col min="6124" max="6124" width="10" style="73" customWidth="1"/>
    <col min="6125" max="6125" width="9.42578125" style="73" bestFit="1" customWidth="1"/>
    <col min="6126" max="6126" width="10.28515625" style="73" bestFit="1" customWidth="1"/>
    <col min="6127" max="6127" width="9.42578125" style="73" customWidth="1"/>
    <col min="6128" max="6128" width="10" style="73" customWidth="1"/>
    <col min="6129" max="6129" width="9.42578125" style="73" bestFit="1" customWidth="1"/>
    <col min="6130" max="6130" width="11" style="73" customWidth="1"/>
    <col min="6131" max="6131" width="9.28515625" style="73" bestFit="1" customWidth="1"/>
    <col min="6132" max="6132" width="9.140625" style="73"/>
    <col min="6133" max="6133" width="9.42578125" style="73" bestFit="1" customWidth="1"/>
    <col min="6134" max="6134" width="9.140625" style="73"/>
    <col min="6135" max="6135" width="9.42578125" style="73" bestFit="1" customWidth="1"/>
    <col min="6136" max="6136" width="9.140625" style="73"/>
    <col min="6137" max="6138" width="9.42578125" style="73" bestFit="1" customWidth="1"/>
    <col min="6139" max="6139" width="9.140625" style="73"/>
    <col min="6140" max="6140" width="9.28515625" style="73" bestFit="1" customWidth="1"/>
    <col min="6141" max="6141" width="9.140625" style="73"/>
    <col min="6142" max="6143" width="9.42578125" style="73" bestFit="1" customWidth="1"/>
    <col min="6144" max="6343" width="9.140625" style="73"/>
    <col min="6344" max="6344" width="8.7109375" style="73" customWidth="1"/>
    <col min="6345" max="6345" width="8.85546875" style="73" bestFit="1" customWidth="1"/>
    <col min="6346" max="6346" width="12.42578125" style="73" customWidth="1"/>
    <col min="6347" max="6347" width="13.7109375" style="73" customWidth="1"/>
    <col min="6348" max="6348" width="15.85546875" style="73" customWidth="1"/>
    <col min="6349" max="6349" width="14.85546875" style="73" customWidth="1"/>
    <col min="6350" max="6350" width="17.140625" style="73" customWidth="1"/>
    <col min="6351" max="6351" width="11.7109375" style="73" customWidth="1"/>
    <col min="6352" max="6352" width="11.28515625" style="73" customWidth="1"/>
    <col min="6353" max="6353" width="7.5703125" style="73" customWidth="1"/>
    <col min="6354" max="6354" width="8.7109375" style="73" customWidth="1"/>
    <col min="6355" max="6355" width="10.85546875" style="73" customWidth="1"/>
    <col min="6356" max="6356" width="53.7109375" style="73" customWidth="1"/>
    <col min="6357" max="6357" width="47.85546875" style="73" customWidth="1"/>
    <col min="6358" max="6358" width="9.28515625" style="73" customWidth="1"/>
    <col min="6359" max="6359" width="10.5703125" style="73" customWidth="1"/>
    <col min="6360" max="6360" width="9.28515625" style="73" customWidth="1"/>
    <col min="6361" max="6361" width="11.140625" style="73" customWidth="1"/>
    <col min="6362" max="6362" width="10.5703125" style="73" customWidth="1"/>
    <col min="6363" max="6363" width="9.28515625" style="73" customWidth="1"/>
    <col min="6364" max="6364" width="11.28515625" style="73" customWidth="1"/>
    <col min="6365" max="6365" width="7.5703125" style="73" customWidth="1"/>
    <col min="6366" max="6366" width="11.140625" style="73" customWidth="1"/>
    <col min="6367" max="6367" width="11.85546875" style="73" customWidth="1"/>
    <col min="6368" max="6369" width="9.28515625" style="73" customWidth="1"/>
    <col min="6370" max="6370" width="12.5703125" style="73" customWidth="1"/>
    <col min="6371" max="6371" width="9.28515625" style="73" customWidth="1"/>
    <col min="6372" max="6372" width="9.28515625" style="73" bestFit="1" customWidth="1"/>
    <col min="6373" max="6373" width="11.28515625" style="73" bestFit="1" customWidth="1"/>
    <col min="6374" max="6374" width="9.28515625" style="73" bestFit="1" customWidth="1"/>
    <col min="6375" max="6375" width="10.85546875" style="73" customWidth="1"/>
    <col min="6376" max="6376" width="9.28515625" style="73" customWidth="1"/>
    <col min="6377" max="6377" width="10" style="73" customWidth="1"/>
    <col min="6378" max="6378" width="10.85546875" style="73" customWidth="1"/>
    <col min="6379" max="6379" width="9.42578125" style="73" customWidth="1"/>
    <col min="6380" max="6380" width="10" style="73" customWidth="1"/>
    <col min="6381" max="6381" width="9.42578125" style="73" bestFit="1" customWidth="1"/>
    <col min="6382" max="6382" width="10.28515625" style="73" bestFit="1" customWidth="1"/>
    <col min="6383" max="6383" width="9.42578125" style="73" customWidth="1"/>
    <col min="6384" max="6384" width="10" style="73" customWidth="1"/>
    <col min="6385" max="6385" width="9.42578125" style="73" bestFit="1" customWidth="1"/>
    <col min="6386" max="6386" width="11" style="73" customWidth="1"/>
    <col min="6387" max="6387" width="9.28515625" style="73" bestFit="1" customWidth="1"/>
    <col min="6388" max="6388" width="9.140625" style="73"/>
    <col min="6389" max="6389" width="9.42578125" style="73" bestFit="1" customWidth="1"/>
    <col min="6390" max="6390" width="9.140625" style="73"/>
    <col min="6391" max="6391" width="9.42578125" style="73" bestFit="1" customWidth="1"/>
    <col min="6392" max="6392" width="9.140625" style="73"/>
    <col min="6393" max="6394" width="9.42578125" style="73" bestFit="1" customWidth="1"/>
    <col min="6395" max="6395" width="9.140625" style="73"/>
    <col min="6396" max="6396" width="9.28515625" style="73" bestFit="1" customWidth="1"/>
    <col min="6397" max="6397" width="9.140625" style="73"/>
    <col min="6398" max="6399" width="9.42578125" style="73" bestFit="1" customWidth="1"/>
    <col min="6400" max="6599" width="9.140625" style="73"/>
    <col min="6600" max="6600" width="8.7109375" style="73" customWidth="1"/>
    <col min="6601" max="6601" width="8.85546875" style="73" bestFit="1" customWidth="1"/>
    <col min="6602" max="6602" width="12.42578125" style="73" customWidth="1"/>
    <col min="6603" max="6603" width="13.7109375" style="73" customWidth="1"/>
    <col min="6604" max="6604" width="15.85546875" style="73" customWidth="1"/>
    <col min="6605" max="6605" width="14.85546875" style="73" customWidth="1"/>
    <col min="6606" max="6606" width="17.140625" style="73" customWidth="1"/>
    <col min="6607" max="6607" width="11.7109375" style="73" customWidth="1"/>
    <col min="6608" max="6608" width="11.28515625" style="73" customWidth="1"/>
    <col min="6609" max="6609" width="7.5703125" style="73" customWidth="1"/>
    <col min="6610" max="6610" width="8.7109375" style="73" customWidth="1"/>
    <col min="6611" max="6611" width="10.85546875" style="73" customWidth="1"/>
    <col min="6612" max="6612" width="53.7109375" style="73" customWidth="1"/>
    <col min="6613" max="6613" width="47.85546875" style="73" customWidth="1"/>
    <col min="6614" max="6614" width="9.28515625" style="73" customWidth="1"/>
    <col min="6615" max="6615" width="10.5703125" style="73" customWidth="1"/>
    <col min="6616" max="6616" width="9.28515625" style="73" customWidth="1"/>
    <col min="6617" max="6617" width="11.140625" style="73" customWidth="1"/>
    <col min="6618" max="6618" width="10.5703125" style="73" customWidth="1"/>
    <col min="6619" max="6619" width="9.28515625" style="73" customWidth="1"/>
    <col min="6620" max="6620" width="11.28515625" style="73" customWidth="1"/>
    <col min="6621" max="6621" width="7.5703125" style="73" customWidth="1"/>
    <col min="6622" max="6622" width="11.140625" style="73" customWidth="1"/>
    <col min="6623" max="6623" width="11.85546875" style="73" customWidth="1"/>
    <col min="6624" max="6625" width="9.28515625" style="73" customWidth="1"/>
    <col min="6626" max="6626" width="12.5703125" style="73" customWidth="1"/>
    <col min="6627" max="6627" width="9.28515625" style="73" customWidth="1"/>
    <col min="6628" max="6628" width="9.28515625" style="73" bestFit="1" customWidth="1"/>
    <col min="6629" max="6629" width="11.28515625" style="73" bestFit="1" customWidth="1"/>
    <col min="6630" max="6630" width="9.28515625" style="73" bestFit="1" customWidth="1"/>
    <col min="6631" max="6631" width="10.85546875" style="73" customWidth="1"/>
    <col min="6632" max="6632" width="9.28515625" style="73" customWidth="1"/>
    <col min="6633" max="6633" width="10" style="73" customWidth="1"/>
    <col min="6634" max="6634" width="10.85546875" style="73" customWidth="1"/>
    <col min="6635" max="6635" width="9.42578125" style="73" customWidth="1"/>
    <col min="6636" max="6636" width="10" style="73" customWidth="1"/>
    <col min="6637" max="6637" width="9.42578125" style="73" bestFit="1" customWidth="1"/>
    <col min="6638" max="6638" width="10.28515625" style="73" bestFit="1" customWidth="1"/>
    <col min="6639" max="6639" width="9.42578125" style="73" customWidth="1"/>
    <col min="6640" max="6640" width="10" style="73" customWidth="1"/>
    <col min="6641" max="6641" width="9.42578125" style="73" bestFit="1" customWidth="1"/>
    <col min="6642" max="6642" width="11" style="73" customWidth="1"/>
    <col min="6643" max="6643" width="9.28515625" style="73" bestFit="1" customWidth="1"/>
    <col min="6644" max="6644" width="9.140625" style="73"/>
    <col min="6645" max="6645" width="9.42578125" style="73" bestFit="1" customWidth="1"/>
    <col min="6646" max="6646" width="9.140625" style="73"/>
    <col min="6647" max="6647" width="9.42578125" style="73" bestFit="1" customWidth="1"/>
    <col min="6648" max="6648" width="9.140625" style="73"/>
    <col min="6649" max="6650" width="9.42578125" style="73" bestFit="1" customWidth="1"/>
    <col min="6651" max="6651" width="9.140625" style="73"/>
    <col min="6652" max="6652" width="9.28515625" style="73" bestFit="1" customWidth="1"/>
    <col min="6653" max="6653" width="9.140625" style="73"/>
    <col min="6654" max="6655" width="9.42578125" style="73" bestFit="1" customWidth="1"/>
    <col min="6656" max="6855" width="9.140625" style="73"/>
    <col min="6856" max="6856" width="8.7109375" style="73" customWidth="1"/>
    <col min="6857" max="6857" width="8.85546875" style="73" bestFit="1" customWidth="1"/>
    <col min="6858" max="6858" width="12.42578125" style="73" customWidth="1"/>
    <col min="6859" max="6859" width="13.7109375" style="73" customWidth="1"/>
    <col min="6860" max="6860" width="15.85546875" style="73" customWidth="1"/>
    <col min="6861" max="6861" width="14.85546875" style="73" customWidth="1"/>
    <col min="6862" max="6862" width="17.140625" style="73" customWidth="1"/>
    <col min="6863" max="6863" width="11.7109375" style="73" customWidth="1"/>
    <col min="6864" max="6864" width="11.28515625" style="73" customWidth="1"/>
    <col min="6865" max="6865" width="7.5703125" style="73" customWidth="1"/>
    <col min="6866" max="6866" width="8.7109375" style="73" customWidth="1"/>
    <col min="6867" max="6867" width="10.85546875" style="73" customWidth="1"/>
    <col min="6868" max="6868" width="53.7109375" style="73" customWidth="1"/>
    <col min="6869" max="6869" width="47.85546875" style="73" customWidth="1"/>
    <col min="6870" max="6870" width="9.28515625" style="73" customWidth="1"/>
    <col min="6871" max="6871" width="10.5703125" style="73" customWidth="1"/>
    <col min="6872" max="6872" width="9.28515625" style="73" customWidth="1"/>
    <col min="6873" max="6873" width="11.140625" style="73" customWidth="1"/>
    <col min="6874" max="6874" width="10.5703125" style="73" customWidth="1"/>
    <col min="6875" max="6875" width="9.28515625" style="73" customWidth="1"/>
    <col min="6876" max="6876" width="11.28515625" style="73" customWidth="1"/>
    <col min="6877" max="6877" width="7.5703125" style="73" customWidth="1"/>
    <col min="6878" max="6878" width="11.140625" style="73" customWidth="1"/>
    <col min="6879" max="6879" width="11.85546875" style="73" customWidth="1"/>
    <col min="6880" max="6881" width="9.28515625" style="73" customWidth="1"/>
    <col min="6882" max="6882" width="12.5703125" style="73" customWidth="1"/>
    <col min="6883" max="6883" width="9.28515625" style="73" customWidth="1"/>
    <col min="6884" max="6884" width="9.28515625" style="73" bestFit="1" customWidth="1"/>
    <col min="6885" max="6885" width="11.28515625" style="73" bestFit="1" customWidth="1"/>
    <col min="6886" max="6886" width="9.28515625" style="73" bestFit="1" customWidth="1"/>
    <col min="6887" max="6887" width="10.85546875" style="73" customWidth="1"/>
    <col min="6888" max="6888" width="9.28515625" style="73" customWidth="1"/>
    <col min="6889" max="6889" width="10" style="73" customWidth="1"/>
    <col min="6890" max="6890" width="10.85546875" style="73" customWidth="1"/>
    <col min="6891" max="6891" width="9.42578125" style="73" customWidth="1"/>
    <col min="6892" max="6892" width="10" style="73" customWidth="1"/>
    <col min="6893" max="6893" width="9.42578125" style="73" bestFit="1" customWidth="1"/>
    <col min="6894" max="6894" width="10.28515625" style="73" bestFit="1" customWidth="1"/>
    <col min="6895" max="6895" width="9.42578125" style="73" customWidth="1"/>
    <col min="6896" max="6896" width="10" style="73" customWidth="1"/>
    <col min="6897" max="6897" width="9.42578125" style="73" bestFit="1" customWidth="1"/>
    <col min="6898" max="6898" width="11" style="73" customWidth="1"/>
    <col min="6899" max="6899" width="9.28515625" style="73" bestFit="1" customWidth="1"/>
    <col min="6900" max="6900" width="9.140625" style="73"/>
    <col min="6901" max="6901" width="9.42578125" style="73" bestFit="1" customWidth="1"/>
    <col min="6902" max="6902" width="9.140625" style="73"/>
    <col min="6903" max="6903" width="9.42578125" style="73" bestFit="1" customWidth="1"/>
    <col min="6904" max="6904" width="9.140625" style="73"/>
    <col min="6905" max="6906" width="9.42578125" style="73" bestFit="1" customWidth="1"/>
    <col min="6907" max="6907" width="9.140625" style="73"/>
    <col min="6908" max="6908" width="9.28515625" style="73" bestFit="1" customWidth="1"/>
    <col min="6909" max="6909" width="9.140625" style="73"/>
    <col min="6910" max="6911" width="9.42578125" style="73" bestFit="1" customWidth="1"/>
    <col min="6912" max="7111" width="9.140625" style="73"/>
    <col min="7112" max="7112" width="8.7109375" style="73" customWidth="1"/>
    <col min="7113" max="7113" width="8.85546875" style="73" bestFit="1" customWidth="1"/>
    <col min="7114" max="7114" width="12.42578125" style="73" customWidth="1"/>
    <col min="7115" max="7115" width="13.7109375" style="73" customWidth="1"/>
    <col min="7116" max="7116" width="15.85546875" style="73" customWidth="1"/>
    <col min="7117" max="7117" width="14.85546875" style="73" customWidth="1"/>
    <col min="7118" max="7118" width="17.140625" style="73" customWidth="1"/>
    <col min="7119" max="7119" width="11.7109375" style="73" customWidth="1"/>
    <col min="7120" max="7120" width="11.28515625" style="73" customWidth="1"/>
    <col min="7121" max="7121" width="7.5703125" style="73" customWidth="1"/>
    <col min="7122" max="7122" width="8.7109375" style="73" customWidth="1"/>
    <col min="7123" max="7123" width="10.85546875" style="73" customWidth="1"/>
    <col min="7124" max="7124" width="53.7109375" style="73" customWidth="1"/>
    <col min="7125" max="7125" width="47.85546875" style="73" customWidth="1"/>
    <col min="7126" max="7126" width="9.28515625" style="73" customWidth="1"/>
    <col min="7127" max="7127" width="10.5703125" style="73" customWidth="1"/>
    <col min="7128" max="7128" width="9.28515625" style="73" customWidth="1"/>
    <col min="7129" max="7129" width="11.140625" style="73" customWidth="1"/>
    <col min="7130" max="7130" width="10.5703125" style="73" customWidth="1"/>
    <col min="7131" max="7131" width="9.28515625" style="73" customWidth="1"/>
    <col min="7132" max="7132" width="11.28515625" style="73" customWidth="1"/>
    <col min="7133" max="7133" width="7.5703125" style="73" customWidth="1"/>
    <col min="7134" max="7134" width="11.140625" style="73" customWidth="1"/>
    <col min="7135" max="7135" width="11.85546875" style="73" customWidth="1"/>
    <col min="7136" max="7137" width="9.28515625" style="73" customWidth="1"/>
    <col min="7138" max="7138" width="12.5703125" style="73" customWidth="1"/>
    <col min="7139" max="7139" width="9.28515625" style="73" customWidth="1"/>
    <col min="7140" max="7140" width="9.28515625" style="73" bestFit="1" customWidth="1"/>
    <col min="7141" max="7141" width="11.28515625" style="73" bestFit="1" customWidth="1"/>
    <col min="7142" max="7142" width="9.28515625" style="73" bestFit="1" customWidth="1"/>
    <col min="7143" max="7143" width="10.85546875" style="73" customWidth="1"/>
    <col min="7144" max="7144" width="9.28515625" style="73" customWidth="1"/>
    <col min="7145" max="7145" width="10" style="73" customWidth="1"/>
    <col min="7146" max="7146" width="10.85546875" style="73" customWidth="1"/>
    <col min="7147" max="7147" width="9.42578125" style="73" customWidth="1"/>
    <col min="7148" max="7148" width="10" style="73" customWidth="1"/>
    <col min="7149" max="7149" width="9.42578125" style="73" bestFit="1" customWidth="1"/>
    <col min="7150" max="7150" width="10.28515625" style="73" bestFit="1" customWidth="1"/>
    <col min="7151" max="7151" width="9.42578125" style="73" customWidth="1"/>
    <col min="7152" max="7152" width="10" style="73" customWidth="1"/>
    <col min="7153" max="7153" width="9.42578125" style="73" bestFit="1" customWidth="1"/>
    <col min="7154" max="7154" width="11" style="73" customWidth="1"/>
    <col min="7155" max="7155" width="9.28515625" style="73" bestFit="1" customWidth="1"/>
    <col min="7156" max="7156" width="9.140625" style="73"/>
    <col min="7157" max="7157" width="9.42578125" style="73" bestFit="1" customWidth="1"/>
    <col min="7158" max="7158" width="9.140625" style="73"/>
    <col min="7159" max="7159" width="9.42578125" style="73" bestFit="1" customWidth="1"/>
    <col min="7160" max="7160" width="9.140625" style="73"/>
    <col min="7161" max="7162" width="9.42578125" style="73" bestFit="1" customWidth="1"/>
    <col min="7163" max="7163" width="9.140625" style="73"/>
    <col min="7164" max="7164" width="9.28515625" style="73" bestFit="1" customWidth="1"/>
    <col min="7165" max="7165" width="9.140625" style="73"/>
    <col min="7166" max="7167" width="9.42578125" style="73" bestFit="1" customWidth="1"/>
    <col min="7168" max="7367" width="9.140625" style="73"/>
    <col min="7368" max="7368" width="8.7109375" style="73" customWidth="1"/>
    <col min="7369" max="7369" width="8.85546875" style="73" bestFit="1" customWidth="1"/>
    <col min="7370" max="7370" width="12.42578125" style="73" customWidth="1"/>
    <col min="7371" max="7371" width="13.7109375" style="73" customWidth="1"/>
    <col min="7372" max="7372" width="15.85546875" style="73" customWidth="1"/>
    <col min="7373" max="7373" width="14.85546875" style="73" customWidth="1"/>
    <col min="7374" max="7374" width="17.140625" style="73" customWidth="1"/>
    <col min="7375" max="7375" width="11.7109375" style="73" customWidth="1"/>
    <col min="7376" max="7376" width="11.28515625" style="73" customWidth="1"/>
    <col min="7377" max="7377" width="7.5703125" style="73" customWidth="1"/>
    <col min="7378" max="7378" width="8.7109375" style="73" customWidth="1"/>
    <col min="7379" max="7379" width="10.85546875" style="73" customWidth="1"/>
    <col min="7380" max="7380" width="53.7109375" style="73" customWidth="1"/>
    <col min="7381" max="7381" width="47.85546875" style="73" customWidth="1"/>
    <col min="7382" max="7382" width="9.28515625" style="73" customWidth="1"/>
    <col min="7383" max="7383" width="10.5703125" style="73" customWidth="1"/>
    <col min="7384" max="7384" width="9.28515625" style="73" customWidth="1"/>
    <col min="7385" max="7385" width="11.140625" style="73" customWidth="1"/>
    <col min="7386" max="7386" width="10.5703125" style="73" customWidth="1"/>
    <col min="7387" max="7387" width="9.28515625" style="73" customWidth="1"/>
    <col min="7388" max="7388" width="11.28515625" style="73" customWidth="1"/>
    <col min="7389" max="7389" width="7.5703125" style="73" customWidth="1"/>
    <col min="7390" max="7390" width="11.140625" style="73" customWidth="1"/>
    <col min="7391" max="7391" width="11.85546875" style="73" customWidth="1"/>
    <col min="7392" max="7393" width="9.28515625" style="73" customWidth="1"/>
    <col min="7394" max="7394" width="12.5703125" style="73" customWidth="1"/>
    <col min="7395" max="7395" width="9.28515625" style="73" customWidth="1"/>
    <col min="7396" max="7396" width="9.28515625" style="73" bestFit="1" customWidth="1"/>
    <col min="7397" max="7397" width="11.28515625" style="73" bestFit="1" customWidth="1"/>
    <col min="7398" max="7398" width="9.28515625" style="73" bestFit="1" customWidth="1"/>
    <col min="7399" max="7399" width="10.85546875" style="73" customWidth="1"/>
    <col min="7400" max="7400" width="9.28515625" style="73" customWidth="1"/>
    <col min="7401" max="7401" width="10" style="73" customWidth="1"/>
    <col min="7402" max="7402" width="10.85546875" style="73" customWidth="1"/>
    <col min="7403" max="7403" width="9.42578125" style="73" customWidth="1"/>
    <col min="7404" max="7404" width="10" style="73" customWidth="1"/>
    <col min="7405" max="7405" width="9.42578125" style="73" bestFit="1" customWidth="1"/>
    <col min="7406" max="7406" width="10.28515625" style="73" bestFit="1" customWidth="1"/>
    <col min="7407" max="7407" width="9.42578125" style="73" customWidth="1"/>
    <col min="7408" max="7408" width="10" style="73" customWidth="1"/>
    <col min="7409" max="7409" width="9.42578125" style="73" bestFit="1" customWidth="1"/>
    <col min="7410" max="7410" width="11" style="73" customWidth="1"/>
    <col min="7411" max="7411" width="9.28515625" style="73" bestFit="1" customWidth="1"/>
    <col min="7412" max="7412" width="9.140625" style="73"/>
    <col min="7413" max="7413" width="9.42578125" style="73" bestFit="1" customWidth="1"/>
    <col min="7414" max="7414" width="9.140625" style="73"/>
    <col min="7415" max="7415" width="9.42578125" style="73" bestFit="1" customWidth="1"/>
    <col min="7416" max="7416" width="9.140625" style="73"/>
    <col min="7417" max="7418" width="9.42578125" style="73" bestFit="1" customWidth="1"/>
    <col min="7419" max="7419" width="9.140625" style="73"/>
    <col min="7420" max="7420" width="9.28515625" style="73" bestFit="1" customWidth="1"/>
    <col min="7421" max="7421" width="9.140625" style="73"/>
    <col min="7422" max="7423" width="9.42578125" style="73" bestFit="1" customWidth="1"/>
    <col min="7424" max="7623" width="9.140625" style="73"/>
    <col min="7624" max="7624" width="8.7109375" style="73" customWidth="1"/>
    <col min="7625" max="7625" width="8.85546875" style="73" bestFit="1" customWidth="1"/>
    <col min="7626" max="7626" width="12.42578125" style="73" customWidth="1"/>
    <col min="7627" max="7627" width="13.7109375" style="73" customWidth="1"/>
    <col min="7628" max="7628" width="15.85546875" style="73" customWidth="1"/>
    <col min="7629" max="7629" width="14.85546875" style="73" customWidth="1"/>
    <col min="7630" max="7630" width="17.140625" style="73" customWidth="1"/>
    <col min="7631" max="7631" width="11.7109375" style="73" customWidth="1"/>
    <col min="7632" max="7632" width="11.28515625" style="73" customWidth="1"/>
    <col min="7633" max="7633" width="7.5703125" style="73" customWidth="1"/>
    <col min="7634" max="7634" width="8.7109375" style="73" customWidth="1"/>
    <col min="7635" max="7635" width="10.85546875" style="73" customWidth="1"/>
    <col min="7636" max="7636" width="53.7109375" style="73" customWidth="1"/>
    <col min="7637" max="7637" width="47.85546875" style="73" customWidth="1"/>
    <col min="7638" max="7638" width="9.28515625" style="73" customWidth="1"/>
    <col min="7639" max="7639" width="10.5703125" style="73" customWidth="1"/>
    <col min="7640" max="7640" width="9.28515625" style="73" customWidth="1"/>
    <col min="7641" max="7641" width="11.140625" style="73" customWidth="1"/>
    <col min="7642" max="7642" width="10.5703125" style="73" customWidth="1"/>
    <col min="7643" max="7643" width="9.28515625" style="73" customWidth="1"/>
    <col min="7644" max="7644" width="11.28515625" style="73" customWidth="1"/>
    <col min="7645" max="7645" width="7.5703125" style="73" customWidth="1"/>
    <col min="7646" max="7646" width="11.140625" style="73" customWidth="1"/>
    <col min="7647" max="7647" width="11.85546875" style="73" customWidth="1"/>
    <col min="7648" max="7649" width="9.28515625" style="73" customWidth="1"/>
    <col min="7650" max="7650" width="12.5703125" style="73" customWidth="1"/>
    <col min="7651" max="7651" width="9.28515625" style="73" customWidth="1"/>
    <col min="7652" max="7652" width="9.28515625" style="73" bestFit="1" customWidth="1"/>
    <col min="7653" max="7653" width="11.28515625" style="73" bestFit="1" customWidth="1"/>
    <col min="7654" max="7654" width="9.28515625" style="73" bestFit="1" customWidth="1"/>
    <col min="7655" max="7655" width="10.85546875" style="73" customWidth="1"/>
    <col min="7656" max="7656" width="9.28515625" style="73" customWidth="1"/>
    <col min="7657" max="7657" width="10" style="73" customWidth="1"/>
    <col min="7658" max="7658" width="10.85546875" style="73" customWidth="1"/>
    <col min="7659" max="7659" width="9.42578125" style="73" customWidth="1"/>
    <col min="7660" max="7660" width="10" style="73" customWidth="1"/>
    <col min="7661" max="7661" width="9.42578125" style="73" bestFit="1" customWidth="1"/>
    <col min="7662" max="7662" width="10.28515625" style="73" bestFit="1" customWidth="1"/>
    <col min="7663" max="7663" width="9.42578125" style="73" customWidth="1"/>
    <col min="7664" max="7664" width="10" style="73" customWidth="1"/>
    <col min="7665" max="7665" width="9.42578125" style="73" bestFit="1" customWidth="1"/>
    <col min="7666" max="7666" width="11" style="73" customWidth="1"/>
    <col min="7667" max="7667" width="9.28515625" style="73" bestFit="1" customWidth="1"/>
    <col min="7668" max="7668" width="9.140625" style="73"/>
    <col min="7669" max="7669" width="9.42578125" style="73" bestFit="1" customWidth="1"/>
    <col min="7670" max="7670" width="9.140625" style="73"/>
    <col min="7671" max="7671" width="9.42578125" style="73" bestFit="1" customWidth="1"/>
    <col min="7672" max="7672" width="9.140625" style="73"/>
    <col min="7673" max="7674" width="9.42578125" style="73" bestFit="1" customWidth="1"/>
    <col min="7675" max="7675" width="9.140625" style="73"/>
    <col min="7676" max="7676" width="9.28515625" style="73" bestFit="1" customWidth="1"/>
    <col min="7677" max="7677" width="9.140625" style="73"/>
    <col min="7678" max="7679" width="9.42578125" style="73" bestFit="1" customWidth="1"/>
    <col min="7680" max="7879" width="9.140625" style="73"/>
    <col min="7880" max="7880" width="8.7109375" style="73" customWidth="1"/>
    <col min="7881" max="7881" width="8.85546875" style="73" bestFit="1" customWidth="1"/>
    <col min="7882" max="7882" width="12.42578125" style="73" customWidth="1"/>
    <col min="7883" max="7883" width="13.7109375" style="73" customWidth="1"/>
    <col min="7884" max="7884" width="15.85546875" style="73" customWidth="1"/>
    <col min="7885" max="7885" width="14.85546875" style="73" customWidth="1"/>
    <col min="7886" max="7886" width="17.140625" style="73" customWidth="1"/>
    <col min="7887" max="7887" width="11.7109375" style="73" customWidth="1"/>
    <col min="7888" max="7888" width="11.28515625" style="73" customWidth="1"/>
    <col min="7889" max="7889" width="7.5703125" style="73" customWidth="1"/>
    <col min="7890" max="7890" width="8.7109375" style="73" customWidth="1"/>
    <col min="7891" max="7891" width="10.85546875" style="73" customWidth="1"/>
    <col min="7892" max="7892" width="53.7109375" style="73" customWidth="1"/>
    <col min="7893" max="7893" width="47.85546875" style="73" customWidth="1"/>
    <col min="7894" max="7894" width="9.28515625" style="73" customWidth="1"/>
    <col min="7895" max="7895" width="10.5703125" style="73" customWidth="1"/>
    <col min="7896" max="7896" width="9.28515625" style="73" customWidth="1"/>
    <col min="7897" max="7897" width="11.140625" style="73" customWidth="1"/>
    <col min="7898" max="7898" width="10.5703125" style="73" customWidth="1"/>
    <col min="7899" max="7899" width="9.28515625" style="73" customWidth="1"/>
    <col min="7900" max="7900" width="11.28515625" style="73" customWidth="1"/>
    <col min="7901" max="7901" width="7.5703125" style="73" customWidth="1"/>
    <col min="7902" max="7902" width="11.140625" style="73" customWidth="1"/>
    <col min="7903" max="7903" width="11.85546875" style="73" customWidth="1"/>
    <col min="7904" max="7905" width="9.28515625" style="73" customWidth="1"/>
    <col min="7906" max="7906" width="12.5703125" style="73" customWidth="1"/>
    <col min="7907" max="7907" width="9.28515625" style="73" customWidth="1"/>
    <col min="7908" max="7908" width="9.28515625" style="73" bestFit="1" customWidth="1"/>
    <col min="7909" max="7909" width="11.28515625" style="73" bestFit="1" customWidth="1"/>
    <col min="7910" max="7910" width="9.28515625" style="73" bestFit="1" customWidth="1"/>
    <col min="7911" max="7911" width="10.85546875" style="73" customWidth="1"/>
    <col min="7912" max="7912" width="9.28515625" style="73" customWidth="1"/>
    <col min="7913" max="7913" width="10" style="73" customWidth="1"/>
    <col min="7914" max="7914" width="10.85546875" style="73" customWidth="1"/>
    <col min="7915" max="7915" width="9.42578125" style="73" customWidth="1"/>
    <col min="7916" max="7916" width="10" style="73" customWidth="1"/>
    <col min="7917" max="7917" width="9.42578125" style="73" bestFit="1" customWidth="1"/>
    <col min="7918" max="7918" width="10.28515625" style="73" bestFit="1" customWidth="1"/>
    <col min="7919" max="7919" width="9.42578125" style="73" customWidth="1"/>
    <col min="7920" max="7920" width="10" style="73" customWidth="1"/>
    <col min="7921" max="7921" width="9.42578125" style="73" bestFit="1" customWidth="1"/>
    <col min="7922" max="7922" width="11" style="73" customWidth="1"/>
    <col min="7923" max="7923" width="9.28515625" style="73" bestFit="1" customWidth="1"/>
    <col min="7924" max="7924" width="9.140625" style="73"/>
    <col min="7925" max="7925" width="9.42578125" style="73" bestFit="1" customWidth="1"/>
    <col min="7926" max="7926" width="9.140625" style="73"/>
    <col min="7927" max="7927" width="9.42578125" style="73" bestFit="1" customWidth="1"/>
    <col min="7928" max="7928" width="9.140625" style="73"/>
    <col min="7929" max="7930" width="9.42578125" style="73" bestFit="1" customWidth="1"/>
    <col min="7931" max="7931" width="9.140625" style="73"/>
    <col min="7932" max="7932" width="9.28515625" style="73" bestFit="1" customWidth="1"/>
    <col min="7933" max="7933" width="9.140625" style="73"/>
    <col min="7934" max="7935" width="9.42578125" style="73" bestFit="1" customWidth="1"/>
    <col min="7936" max="8135" width="9.140625" style="73"/>
    <col min="8136" max="8136" width="8.7109375" style="73" customWidth="1"/>
    <col min="8137" max="8137" width="8.85546875" style="73" bestFit="1" customWidth="1"/>
    <col min="8138" max="8138" width="12.42578125" style="73" customWidth="1"/>
    <col min="8139" max="8139" width="13.7109375" style="73" customWidth="1"/>
    <col min="8140" max="8140" width="15.85546875" style="73" customWidth="1"/>
    <col min="8141" max="8141" width="14.85546875" style="73" customWidth="1"/>
    <col min="8142" max="8142" width="17.140625" style="73" customWidth="1"/>
    <col min="8143" max="8143" width="11.7109375" style="73" customWidth="1"/>
    <col min="8144" max="8144" width="11.28515625" style="73" customWidth="1"/>
    <col min="8145" max="8145" width="7.5703125" style="73" customWidth="1"/>
    <col min="8146" max="8146" width="8.7109375" style="73" customWidth="1"/>
    <col min="8147" max="8147" width="10.85546875" style="73" customWidth="1"/>
    <col min="8148" max="8148" width="53.7109375" style="73" customWidth="1"/>
    <col min="8149" max="8149" width="47.85546875" style="73" customWidth="1"/>
    <col min="8150" max="8150" width="9.28515625" style="73" customWidth="1"/>
    <col min="8151" max="8151" width="10.5703125" style="73" customWidth="1"/>
    <col min="8152" max="8152" width="9.28515625" style="73" customWidth="1"/>
    <col min="8153" max="8153" width="11.140625" style="73" customWidth="1"/>
    <col min="8154" max="8154" width="10.5703125" style="73" customWidth="1"/>
    <col min="8155" max="8155" width="9.28515625" style="73" customWidth="1"/>
    <col min="8156" max="8156" width="11.28515625" style="73" customWidth="1"/>
    <col min="8157" max="8157" width="7.5703125" style="73" customWidth="1"/>
    <col min="8158" max="8158" width="11.140625" style="73" customWidth="1"/>
    <col min="8159" max="8159" width="11.85546875" style="73" customWidth="1"/>
    <col min="8160" max="8161" width="9.28515625" style="73" customWidth="1"/>
    <col min="8162" max="8162" width="12.5703125" style="73" customWidth="1"/>
    <col min="8163" max="8163" width="9.28515625" style="73" customWidth="1"/>
    <col min="8164" max="8164" width="9.28515625" style="73" bestFit="1" customWidth="1"/>
    <col min="8165" max="8165" width="11.28515625" style="73" bestFit="1" customWidth="1"/>
    <col min="8166" max="8166" width="9.28515625" style="73" bestFit="1" customWidth="1"/>
    <col min="8167" max="8167" width="10.85546875" style="73" customWidth="1"/>
    <col min="8168" max="8168" width="9.28515625" style="73" customWidth="1"/>
    <col min="8169" max="8169" width="10" style="73" customWidth="1"/>
    <col min="8170" max="8170" width="10.85546875" style="73" customWidth="1"/>
    <col min="8171" max="8171" width="9.42578125" style="73" customWidth="1"/>
    <col min="8172" max="8172" width="10" style="73" customWidth="1"/>
    <col min="8173" max="8173" width="9.42578125" style="73" bestFit="1" customWidth="1"/>
    <col min="8174" max="8174" width="10.28515625" style="73" bestFit="1" customWidth="1"/>
    <col min="8175" max="8175" width="9.42578125" style="73" customWidth="1"/>
    <col min="8176" max="8176" width="10" style="73" customWidth="1"/>
    <col min="8177" max="8177" width="9.42578125" style="73" bestFit="1" customWidth="1"/>
    <col min="8178" max="8178" width="11" style="73" customWidth="1"/>
    <col min="8179" max="8179" width="9.28515625" style="73" bestFit="1" customWidth="1"/>
    <col min="8180" max="8180" width="9.140625" style="73"/>
    <col min="8181" max="8181" width="9.42578125" style="73" bestFit="1" customWidth="1"/>
    <col min="8182" max="8182" width="9.140625" style="73"/>
    <col min="8183" max="8183" width="9.42578125" style="73" bestFit="1" customWidth="1"/>
    <col min="8184" max="8184" width="9.140625" style="73"/>
    <col min="8185" max="8186" width="9.42578125" style="73" bestFit="1" customWidth="1"/>
    <col min="8187" max="8187" width="9.140625" style="73"/>
    <col min="8188" max="8188" width="9.28515625" style="73" bestFit="1" customWidth="1"/>
    <col min="8189" max="8189" width="9.140625" style="73"/>
    <col min="8190" max="8191" width="9.42578125" style="73" bestFit="1" customWidth="1"/>
    <col min="8192" max="8391" width="9.140625" style="73"/>
    <col min="8392" max="8392" width="8.7109375" style="73" customWidth="1"/>
    <col min="8393" max="8393" width="8.85546875" style="73" bestFit="1" customWidth="1"/>
    <col min="8394" max="8394" width="12.42578125" style="73" customWidth="1"/>
    <col min="8395" max="8395" width="13.7109375" style="73" customWidth="1"/>
    <col min="8396" max="8396" width="15.85546875" style="73" customWidth="1"/>
    <col min="8397" max="8397" width="14.85546875" style="73" customWidth="1"/>
    <col min="8398" max="8398" width="17.140625" style="73" customWidth="1"/>
    <col min="8399" max="8399" width="11.7109375" style="73" customWidth="1"/>
    <col min="8400" max="8400" width="11.28515625" style="73" customWidth="1"/>
    <col min="8401" max="8401" width="7.5703125" style="73" customWidth="1"/>
    <col min="8402" max="8402" width="8.7109375" style="73" customWidth="1"/>
    <col min="8403" max="8403" width="10.85546875" style="73" customWidth="1"/>
    <col min="8404" max="8404" width="53.7109375" style="73" customWidth="1"/>
    <col min="8405" max="8405" width="47.85546875" style="73" customWidth="1"/>
    <col min="8406" max="8406" width="9.28515625" style="73" customWidth="1"/>
    <col min="8407" max="8407" width="10.5703125" style="73" customWidth="1"/>
    <col min="8408" max="8408" width="9.28515625" style="73" customWidth="1"/>
    <col min="8409" max="8409" width="11.140625" style="73" customWidth="1"/>
    <col min="8410" max="8410" width="10.5703125" style="73" customWidth="1"/>
    <col min="8411" max="8411" width="9.28515625" style="73" customWidth="1"/>
    <col min="8412" max="8412" width="11.28515625" style="73" customWidth="1"/>
    <col min="8413" max="8413" width="7.5703125" style="73" customWidth="1"/>
    <col min="8414" max="8414" width="11.140625" style="73" customWidth="1"/>
    <col min="8415" max="8415" width="11.85546875" style="73" customWidth="1"/>
    <col min="8416" max="8417" width="9.28515625" style="73" customWidth="1"/>
    <col min="8418" max="8418" width="12.5703125" style="73" customWidth="1"/>
    <col min="8419" max="8419" width="9.28515625" style="73" customWidth="1"/>
    <col min="8420" max="8420" width="9.28515625" style="73" bestFit="1" customWidth="1"/>
    <col min="8421" max="8421" width="11.28515625" style="73" bestFit="1" customWidth="1"/>
    <col min="8422" max="8422" width="9.28515625" style="73" bestFit="1" customWidth="1"/>
    <col min="8423" max="8423" width="10.85546875" style="73" customWidth="1"/>
    <col min="8424" max="8424" width="9.28515625" style="73" customWidth="1"/>
    <col min="8425" max="8425" width="10" style="73" customWidth="1"/>
    <col min="8426" max="8426" width="10.85546875" style="73" customWidth="1"/>
    <col min="8427" max="8427" width="9.42578125" style="73" customWidth="1"/>
    <col min="8428" max="8428" width="10" style="73" customWidth="1"/>
    <col min="8429" max="8429" width="9.42578125" style="73" bestFit="1" customWidth="1"/>
    <col min="8430" max="8430" width="10.28515625" style="73" bestFit="1" customWidth="1"/>
    <col min="8431" max="8431" width="9.42578125" style="73" customWidth="1"/>
    <col min="8432" max="8432" width="10" style="73" customWidth="1"/>
    <col min="8433" max="8433" width="9.42578125" style="73" bestFit="1" customWidth="1"/>
    <col min="8434" max="8434" width="11" style="73" customWidth="1"/>
    <col min="8435" max="8435" width="9.28515625" style="73" bestFit="1" customWidth="1"/>
    <col min="8436" max="8436" width="9.140625" style="73"/>
    <col min="8437" max="8437" width="9.42578125" style="73" bestFit="1" customWidth="1"/>
    <col min="8438" max="8438" width="9.140625" style="73"/>
    <col min="8439" max="8439" width="9.42578125" style="73" bestFit="1" customWidth="1"/>
    <col min="8440" max="8440" width="9.140625" style="73"/>
    <col min="8441" max="8442" width="9.42578125" style="73" bestFit="1" customWidth="1"/>
    <col min="8443" max="8443" width="9.140625" style="73"/>
    <col min="8444" max="8444" width="9.28515625" style="73" bestFit="1" customWidth="1"/>
    <col min="8445" max="8445" width="9.140625" style="73"/>
    <col min="8446" max="8447" width="9.42578125" style="73" bestFit="1" customWidth="1"/>
    <col min="8448" max="8647" width="9.140625" style="73"/>
    <col min="8648" max="8648" width="8.7109375" style="73" customWidth="1"/>
    <col min="8649" max="8649" width="8.85546875" style="73" bestFit="1" customWidth="1"/>
    <col min="8650" max="8650" width="12.42578125" style="73" customWidth="1"/>
    <col min="8651" max="8651" width="13.7109375" style="73" customWidth="1"/>
    <col min="8652" max="8652" width="15.85546875" style="73" customWidth="1"/>
    <col min="8653" max="8653" width="14.85546875" style="73" customWidth="1"/>
    <col min="8654" max="8654" width="17.140625" style="73" customWidth="1"/>
    <col min="8655" max="8655" width="11.7109375" style="73" customWidth="1"/>
    <col min="8656" max="8656" width="11.28515625" style="73" customWidth="1"/>
    <col min="8657" max="8657" width="7.5703125" style="73" customWidth="1"/>
    <col min="8658" max="8658" width="8.7109375" style="73" customWidth="1"/>
    <col min="8659" max="8659" width="10.85546875" style="73" customWidth="1"/>
    <col min="8660" max="8660" width="53.7109375" style="73" customWidth="1"/>
    <col min="8661" max="8661" width="47.85546875" style="73" customWidth="1"/>
    <col min="8662" max="8662" width="9.28515625" style="73" customWidth="1"/>
    <col min="8663" max="8663" width="10.5703125" style="73" customWidth="1"/>
    <col min="8664" max="8664" width="9.28515625" style="73" customWidth="1"/>
    <col min="8665" max="8665" width="11.140625" style="73" customWidth="1"/>
    <col min="8666" max="8666" width="10.5703125" style="73" customWidth="1"/>
    <col min="8667" max="8667" width="9.28515625" style="73" customWidth="1"/>
    <col min="8668" max="8668" width="11.28515625" style="73" customWidth="1"/>
    <col min="8669" max="8669" width="7.5703125" style="73" customWidth="1"/>
    <col min="8670" max="8670" width="11.140625" style="73" customWidth="1"/>
    <col min="8671" max="8671" width="11.85546875" style="73" customWidth="1"/>
    <col min="8672" max="8673" width="9.28515625" style="73" customWidth="1"/>
    <col min="8674" max="8674" width="12.5703125" style="73" customWidth="1"/>
    <col min="8675" max="8675" width="9.28515625" style="73" customWidth="1"/>
    <col min="8676" max="8676" width="9.28515625" style="73" bestFit="1" customWidth="1"/>
    <col min="8677" max="8677" width="11.28515625" style="73" bestFit="1" customWidth="1"/>
    <col min="8678" max="8678" width="9.28515625" style="73" bestFit="1" customWidth="1"/>
    <col min="8679" max="8679" width="10.85546875" style="73" customWidth="1"/>
    <col min="8680" max="8680" width="9.28515625" style="73" customWidth="1"/>
    <col min="8681" max="8681" width="10" style="73" customWidth="1"/>
    <col min="8682" max="8682" width="10.85546875" style="73" customWidth="1"/>
    <col min="8683" max="8683" width="9.42578125" style="73" customWidth="1"/>
    <col min="8684" max="8684" width="10" style="73" customWidth="1"/>
    <col min="8685" max="8685" width="9.42578125" style="73" bestFit="1" customWidth="1"/>
    <col min="8686" max="8686" width="10.28515625" style="73" bestFit="1" customWidth="1"/>
    <col min="8687" max="8687" width="9.42578125" style="73" customWidth="1"/>
    <col min="8688" max="8688" width="10" style="73" customWidth="1"/>
    <col min="8689" max="8689" width="9.42578125" style="73" bestFit="1" customWidth="1"/>
    <col min="8690" max="8690" width="11" style="73" customWidth="1"/>
    <col min="8691" max="8691" width="9.28515625" style="73" bestFit="1" customWidth="1"/>
    <col min="8692" max="8692" width="9.140625" style="73"/>
    <col min="8693" max="8693" width="9.42578125" style="73" bestFit="1" customWidth="1"/>
    <col min="8694" max="8694" width="9.140625" style="73"/>
    <col min="8695" max="8695" width="9.42578125" style="73" bestFit="1" customWidth="1"/>
    <col min="8696" max="8696" width="9.140625" style="73"/>
    <col min="8697" max="8698" width="9.42578125" style="73" bestFit="1" customWidth="1"/>
    <col min="8699" max="8699" width="9.140625" style="73"/>
    <col min="8700" max="8700" width="9.28515625" style="73" bestFit="1" customWidth="1"/>
    <col min="8701" max="8701" width="9.140625" style="73"/>
    <col min="8702" max="8703" width="9.42578125" style="73" bestFit="1" customWidth="1"/>
    <col min="8704" max="8903" width="9.140625" style="73"/>
    <col min="8904" max="8904" width="8.7109375" style="73" customWidth="1"/>
    <col min="8905" max="8905" width="8.85546875" style="73" bestFit="1" customWidth="1"/>
    <col min="8906" max="8906" width="12.42578125" style="73" customWidth="1"/>
    <col min="8907" max="8907" width="13.7109375" style="73" customWidth="1"/>
    <col min="8908" max="8908" width="15.85546875" style="73" customWidth="1"/>
    <col min="8909" max="8909" width="14.85546875" style="73" customWidth="1"/>
    <col min="8910" max="8910" width="17.140625" style="73" customWidth="1"/>
    <col min="8911" max="8911" width="11.7109375" style="73" customWidth="1"/>
    <col min="8912" max="8912" width="11.28515625" style="73" customWidth="1"/>
    <col min="8913" max="8913" width="7.5703125" style="73" customWidth="1"/>
    <col min="8914" max="8914" width="8.7109375" style="73" customWidth="1"/>
    <col min="8915" max="8915" width="10.85546875" style="73" customWidth="1"/>
    <col min="8916" max="8916" width="53.7109375" style="73" customWidth="1"/>
    <col min="8917" max="8917" width="47.85546875" style="73" customWidth="1"/>
    <col min="8918" max="8918" width="9.28515625" style="73" customWidth="1"/>
    <col min="8919" max="8919" width="10.5703125" style="73" customWidth="1"/>
    <col min="8920" max="8920" width="9.28515625" style="73" customWidth="1"/>
    <col min="8921" max="8921" width="11.140625" style="73" customWidth="1"/>
    <col min="8922" max="8922" width="10.5703125" style="73" customWidth="1"/>
    <col min="8923" max="8923" width="9.28515625" style="73" customWidth="1"/>
    <col min="8924" max="8924" width="11.28515625" style="73" customWidth="1"/>
    <col min="8925" max="8925" width="7.5703125" style="73" customWidth="1"/>
    <col min="8926" max="8926" width="11.140625" style="73" customWidth="1"/>
    <col min="8927" max="8927" width="11.85546875" style="73" customWidth="1"/>
    <col min="8928" max="8929" width="9.28515625" style="73" customWidth="1"/>
    <col min="8930" max="8930" width="12.5703125" style="73" customWidth="1"/>
    <col min="8931" max="8931" width="9.28515625" style="73" customWidth="1"/>
    <col min="8932" max="8932" width="9.28515625" style="73" bestFit="1" customWidth="1"/>
    <col min="8933" max="8933" width="11.28515625" style="73" bestFit="1" customWidth="1"/>
    <col min="8934" max="8934" width="9.28515625" style="73" bestFit="1" customWidth="1"/>
    <col min="8935" max="8935" width="10.85546875" style="73" customWidth="1"/>
    <col min="8936" max="8936" width="9.28515625" style="73" customWidth="1"/>
    <col min="8937" max="8937" width="10" style="73" customWidth="1"/>
    <col min="8938" max="8938" width="10.85546875" style="73" customWidth="1"/>
    <col min="8939" max="8939" width="9.42578125" style="73" customWidth="1"/>
    <col min="8940" max="8940" width="10" style="73" customWidth="1"/>
    <col min="8941" max="8941" width="9.42578125" style="73" bestFit="1" customWidth="1"/>
    <col min="8942" max="8942" width="10.28515625" style="73" bestFit="1" customWidth="1"/>
    <col min="8943" max="8943" width="9.42578125" style="73" customWidth="1"/>
    <col min="8944" max="8944" width="10" style="73" customWidth="1"/>
    <col min="8945" max="8945" width="9.42578125" style="73" bestFit="1" customWidth="1"/>
    <col min="8946" max="8946" width="11" style="73" customWidth="1"/>
    <col min="8947" max="8947" width="9.28515625" style="73" bestFit="1" customWidth="1"/>
    <col min="8948" max="8948" width="9.140625" style="73"/>
    <col min="8949" max="8949" width="9.42578125" style="73" bestFit="1" customWidth="1"/>
    <col min="8950" max="8950" width="9.140625" style="73"/>
    <col min="8951" max="8951" width="9.42578125" style="73" bestFit="1" customWidth="1"/>
    <col min="8952" max="8952" width="9.140625" style="73"/>
    <col min="8953" max="8954" width="9.42578125" style="73" bestFit="1" customWidth="1"/>
    <col min="8955" max="8955" width="9.140625" style="73"/>
    <col min="8956" max="8956" width="9.28515625" style="73" bestFit="1" customWidth="1"/>
    <col min="8957" max="8957" width="9.140625" style="73"/>
    <col min="8958" max="8959" width="9.42578125" style="73" bestFit="1" customWidth="1"/>
    <col min="8960" max="9159" width="9.140625" style="73"/>
    <col min="9160" max="9160" width="8.7109375" style="73" customWidth="1"/>
    <col min="9161" max="9161" width="8.85546875" style="73" bestFit="1" customWidth="1"/>
    <col min="9162" max="9162" width="12.42578125" style="73" customWidth="1"/>
    <col min="9163" max="9163" width="13.7109375" style="73" customWidth="1"/>
    <col min="9164" max="9164" width="15.85546875" style="73" customWidth="1"/>
    <col min="9165" max="9165" width="14.85546875" style="73" customWidth="1"/>
    <col min="9166" max="9166" width="17.140625" style="73" customWidth="1"/>
    <col min="9167" max="9167" width="11.7109375" style="73" customWidth="1"/>
    <col min="9168" max="9168" width="11.28515625" style="73" customWidth="1"/>
    <col min="9169" max="9169" width="7.5703125" style="73" customWidth="1"/>
    <col min="9170" max="9170" width="8.7109375" style="73" customWidth="1"/>
    <col min="9171" max="9171" width="10.85546875" style="73" customWidth="1"/>
    <col min="9172" max="9172" width="53.7109375" style="73" customWidth="1"/>
    <col min="9173" max="9173" width="47.85546875" style="73" customWidth="1"/>
    <col min="9174" max="9174" width="9.28515625" style="73" customWidth="1"/>
    <col min="9175" max="9175" width="10.5703125" style="73" customWidth="1"/>
    <col min="9176" max="9176" width="9.28515625" style="73" customWidth="1"/>
    <col min="9177" max="9177" width="11.140625" style="73" customWidth="1"/>
    <col min="9178" max="9178" width="10.5703125" style="73" customWidth="1"/>
    <col min="9179" max="9179" width="9.28515625" style="73" customWidth="1"/>
    <col min="9180" max="9180" width="11.28515625" style="73" customWidth="1"/>
    <col min="9181" max="9181" width="7.5703125" style="73" customWidth="1"/>
    <col min="9182" max="9182" width="11.140625" style="73" customWidth="1"/>
    <col min="9183" max="9183" width="11.85546875" style="73" customWidth="1"/>
    <col min="9184" max="9185" width="9.28515625" style="73" customWidth="1"/>
    <col min="9186" max="9186" width="12.5703125" style="73" customWidth="1"/>
    <col min="9187" max="9187" width="9.28515625" style="73" customWidth="1"/>
    <col min="9188" max="9188" width="9.28515625" style="73" bestFit="1" customWidth="1"/>
    <col min="9189" max="9189" width="11.28515625" style="73" bestFit="1" customWidth="1"/>
    <col min="9190" max="9190" width="9.28515625" style="73" bestFit="1" customWidth="1"/>
    <col min="9191" max="9191" width="10.85546875" style="73" customWidth="1"/>
    <col min="9192" max="9192" width="9.28515625" style="73" customWidth="1"/>
    <col min="9193" max="9193" width="10" style="73" customWidth="1"/>
    <col min="9194" max="9194" width="10.85546875" style="73" customWidth="1"/>
    <col min="9195" max="9195" width="9.42578125" style="73" customWidth="1"/>
    <col min="9196" max="9196" width="10" style="73" customWidth="1"/>
    <col min="9197" max="9197" width="9.42578125" style="73" bestFit="1" customWidth="1"/>
    <col min="9198" max="9198" width="10.28515625" style="73" bestFit="1" customWidth="1"/>
    <col min="9199" max="9199" width="9.42578125" style="73" customWidth="1"/>
    <col min="9200" max="9200" width="10" style="73" customWidth="1"/>
    <col min="9201" max="9201" width="9.42578125" style="73" bestFit="1" customWidth="1"/>
    <col min="9202" max="9202" width="11" style="73" customWidth="1"/>
    <col min="9203" max="9203" width="9.28515625" style="73" bestFit="1" customWidth="1"/>
    <col min="9204" max="9204" width="9.140625" style="73"/>
    <col min="9205" max="9205" width="9.42578125" style="73" bestFit="1" customWidth="1"/>
    <col min="9206" max="9206" width="9.140625" style="73"/>
    <col min="9207" max="9207" width="9.42578125" style="73" bestFit="1" customWidth="1"/>
    <col min="9208" max="9208" width="9.140625" style="73"/>
    <col min="9209" max="9210" width="9.42578125" style="73" bestFit="1" customWidth="1"/>
    <col min="9211" max="9211" width="9.140625" style="73"/>
    <col min="9212" max="9212" width="9.28515625" style="73" bestFit="1" customWidth="1"/>
    <col min="9213" max="9213" width="9.140625" style="73"/>
    <col min="9214" max="9215" width="9.42578125" style="73" bestFit="1" customWidth="1"/>
    <col min="9216" max="9415" width="9.140625" style="73"/>
    <col min="9416" max="9416" width="8.7109375" style="73" customWidth="1"/>
    <col min="9417" max="9417" width="8.85546875" style="73" bestFit="1" customWidth="1"/>
    <col min="9418" max="9418" width="12.42578125" style="73" customWidth="1"/>
    <col min="9419" max="9419" width="13.7109375" style="73" customWidth="1"/>
    <col min="9420" max="9420" width="15.85546875" style="73" customWidth="1"/>
    <col min="9421" max="9421" width="14.85546875" style="73" customWidth="1"/>
    <col min="9422" max="9422" width="17.140625" style="73" customWidth="1"/>
    <col min="9423" max="9423" width="11.7109375" style="73" customWidth="1"/>
    <col min="9424" max="9424" width="11.28515625" style="73" customWidth="1"/>
    <col min="9425" max="9425" width="7.5703125" style="73" customWidth="1"/>
    <col min="9426" max="9426" width="8.7109375" style="73" customWidth="1"/>
    <col min="9427" max="9427" width="10.85546875" style="73" customWidth="1"/>
    <col min="9428" max="9428" width="53.7109375" style="73" customWidth="1"/>
    <col min="9429" max="9429" width="47.85546875" style="73" customWidth="1"/>
    <col min="9430" max="9430" width="9.28515625" style="73" customWidth="1"/>
    <col min="9431" max="9431" width="10.5703125" style="73" customWidth="1"/>
    <col min="9432" max="9432" width="9.28515625" style="73" customWidth="1"/>
    <col min="9433" max="9433" width="11.140625" style="73" customWidth="1"/>
    <col min="9434" max="9434" width="10.5703125" style="73" customWidth="1"/>
    <col min="9435" max="9435" width="9.28515625" style="73" customWidth="1"/>
    <col min="9436" max="9436" width="11.28515625" style="73" customWidth="1"/>
    <col min="9437" max="9437" width="7.5703125" style="73" customWidth="1"/>
    <col min="9438" max="9438" width="11.140625" style="73" customWidth="1"/>
    <col min="9439" max="9439" width="11.85546875" style="73" customWidth="1"/>
    <col min="9440" max="9441" width="9.28515625" style="73" customWidth="1"/>
    <col min="9442" max="9442" width="12.5703125" style="73" customWidth="1"/>
    <col min="9443" max="9443" width="9.28515625" style="73" customWidth="1"/>
    <col min="9444" max="9444" width="9.28515625" style="73" bestFit="1" customWidth="1"/>
    <col min="9445" max="9445" width="11.28515625" style="73" bestFit="1" customWidth="1"/>
    <col min="9446" max="9446" width="9.28515625" style="73" bestFit="1" customWidth="1"/>
    <col min="9447" max="9447" width="10.85546875" style="73" customWidth="1"/>
    <col min="9448" max="9448" width="9.28515625" style="73" customWidth="1"/>
    <col min="9449" max="9449" width="10" style="73" customWidth="1"/>
    <col min="9450" max="9450" width="10.85546875" style="73" customWidth="1"/>
    <col min="9451" max="9451" width="9.42578125" style="73" customWidth="1"/>
    <col min="9452" max="9452" width="10" style="73" customWidth="1"/>
    <col min="9453" max="9453" width="9.42578125" style="73" bestFit="1" customWidth="1"/>
    <col min="9454" max="9454" width="10.28515625" style="73" bestFit="1" customWidth="1"/>
    <col min="9455" max="9455" width="9.42578125" style="73" customWidth="1"/>
    <col min="9456" max="9456" width="10" style="73" customWidth="1"/>
    <col min="9457" max="9457" width="9.42578125" style="73" bestFit="1" customWidth="1"/>
    <col min="9458" max="9458" width="11" style="73" customWidth="1"/>
    <col min="9459" max="9459" width="9.28515625" style="73" bestFit="1" customWidth="1"/>
    <col min="9460" max="9460" width="9.140625" style="73"/>
    <col min="9461" max="9461" width="9.42578125" style="73" bestFit="1" customWidth="1"/>
    <col min="9462" max="9462" width="9.140625" style="73"/>
    <col min="9463" max="9463" width="9.42578125" style="73" bestFit="1" customWidth="1"/>
    <col min="9464" max="9464" width="9.140625" style="73"/>
    <col min="9465" max="9466" width="9.42578125" style="73" bestFit="1" customWidth="1"/>
    <col min="9467" max="9467" width="9.140625" style="73"/>
    <col min="9468" max="9468" width="9.28515625" style="73" bestFit="1" customWidth="1"/>
    <col min="9469" max="9469" width="9.140625" style="73"/>
    <col min="9470" max="9471" width="9.42578125" style="73" bestFit="1" customWidth="1"/>
    <col min="9472" max="9671" width="9.140625" style="73"/>
    <col min="9672" max="9672" width="8.7109375" style="73" customWidth="1"/>
    <col min="9673" max="9673" width="8.85546875" style="73" bestFit="1" customWidth="1"/>
    <col min="9674" max="9674" width="12.42578125" style="73" customWidth="1"/>
    <col min="9675" max="9675" width="13.7109375" style="73" customWidth="1"/>
    <col min="9676" max="9676" width="15.85546875" style="73" customWidth="1"/>
    <col min="9677" max="9677" width="14.85546875" style="73" customWidth="1"/>
    <col min="9678" max="9678" width="17.140625" style="73" customWidth="1"/>
    <col min="9679" max="9679" width="11.7109375" style="73" customWidth="1"/>
    <col min="9680" max="9680" width="11.28515625" style="73" customWidth="1"/>
    <col min="9681" max="9681" width="7.5703125" style="73" customWidth="1"/>
    <col min="9682" max="9682" width="8.7109375" style="73" customWidth="1"/>
    <col min="9683" max="9683" width="10.85546875" style="73" customWidth="1"/>
    <col min="9684" max="9684" width="53.7109375" style="73" customWidth="1"/>
    <col min="9685" max="9685" width="47.85546875" style="73" customWidth="1"/>
    <col min="9686" max="9686" width="9.28515625" style="73" customWidth="1"/>
    <col min="9687" max="9687" width="10.5703125" style="73" customWidth="1"/>
    <col min="9688" max="9688" width="9.28515625" style="73" customWidth="1"/>
    <col min="9689" max="9689" width="11.140625" style="73" customWidth="1"/>
    <col min="9690" max="9690" width="10.5703125" style="73" customWidth="1"/>
    <col min="9691" max="9691" width="9.28515625" style="73" customWidth="1"/>
    <col min="9692" max="9692" width="11.28515625" style="73" customWidth="1"/>
    <col min="9693" max="9693" width="7.5703125" style="73" customWidth="1"/>
    <col min="9694" max="9694" width="11.140625" style="73" customWidth="1"/>
    <col min="9695" max="9695" width="11.85546875" style="73" customWidth="1"/>
    <col min="9696" max="9697" width="9.28515625" style="73" customWidth="1"/>
    <col min="9698" max="9698" width="12.5703125" style="73" customWidth="1"/>
    <col min="9699" max="9699" width="9.28515625" style="73" customWidth="1"/>
    <col min="9700" max="9700" width="9.28515625" style="73" bestFit="1" customWidth="1"/>
    <col min="9701" max="9701" width="11.28515625" style="73" bestFit="1" customWidth="1"/>
    <col min="9702" max="9702" width="9.28515625" style="73" bestFit="1" customWidth="1"/>
    <col min="9703" max="9703" width="10.85546875" style="73" customWidth="1"/>
    <col min="9704" max="9704" width="9.28515625" style="73" customWidth="1"/>
    <col min="9705" max="9705" width="10" style="73" customWidth="1"/>
    <col min="9706" max="9706" width="10.85546875" style="73" customWidth="1"/>
    <col min="9707" max="9707" width="9.42578125" style="73" customWidth="1"/>
    <col min="9708" max="9708" width="10" style="73" customWidth="1"/>
    <col min="9709" max="9709" width="9.42578125" style="73" bestFit="1" customWidth="1"/>
    <col min="9710" max="9710" width="10.28515625" style="73" bestFit="1" customWidth="1"/>
    <col min="9711" max="9711" width="9.42578125" style="73" customWidth="1"/>
    <col min="9712" max="9712" width="10" style="73" customWidth="1"/>
    <col min="9713" max="9713" width="9.42578125" style="73" bestFit="1" customWidth="1"/>
    <col min="9714" max="9714" width="11" style="73" customWidth="1"/>
    <col min="9715" max="9715" width="9.28515625" style="73" bestFit="1" customWidth="1"/>
    <col min="9716" max="9716" width="9.140625" style="73"/>
    <col min="9717" max="9717" width="9.42578125" style="73" bestFit="1" customWidth="1"/>
    <col min="9718" max="9718" width="9.140625" style="73"/>
    <col min="9719" max="9719" width="9.42578125" style="73" bestFit="1" customWidth="1"/>
    <col min="9720" max="9720" width="9.140625" style="73"/>
    <col min="9721" max="9722" width="9.42578125" style="73" bestFit="1" customWidth="1"/>
    <col min="9723" max="9723" width="9.140625" style="73"/>
    <col min="9724" max="9724" width="9.28515625" style="73" bestFit="1" customWidth="1"/>
    <col min="9725" max="9725" width="9.140625" style="73"/>
    <col min="9726" max="9727" width="9.42578125" style="73" bestFit="1" customWidth="1"/>
    <col min="9728" max="9927" width="9.140625" style="73"/>
    <col min="9928" max="9928" width="8.7109375" style="73" customWidth="1"/>
    <col min="9929" max="9929" width="8.85546875" style="73" bestFit="1" customWidth="1"/>
    <col min="9930" max="9930" width="12.42578125" style="73" customWidth="1"/>
    <col min="9931" max="9931" width="13.7109375" style="73" customWidth="1"/>
    <col min="9932" max="9932" width="15.85546875" style="73" customWidth="1"/>
    <col min="9933" max="9933" width="14.85546875" style="73" customWidth="1"/>
    <col min="9934" max="9934" width="17.140625" style="73" customWidth="1"/>
    <col min="9935" max="9935" width="11.7109375" style="73" customWidth="1"/>
    <col min="9936" max="9936" width="11.28515625" style="73" customWidth="1"/>
    <col min="9937" max="9937" width="7.5703125" style="73" customWidth="1"/>
    <col min="9938" max="9938" width="8.7109375" style="73" customWidth="1"/>
    <col min="9939" max="9939" width="10.85546875" style="73" customWidth="1"/>
    <col min="9940" max="9940" width="53.7109375" style="73" customWidth="1"/>
    <col min="9941" max="9941" width="47.85546875" style="73" customWidth="1"/>
    <col min="9942" max="9942" width="9.28515625" style="73" customWidth="1"/>
    <col min="9943" max="9943" width="10.5703125" style="73" customWidth="1"/>
    <col min="9944" max="9944" width="9.28515625" style="73" customWidth="1"/>
    <col min="9945" max="9945" width="11.140625" style="73" customWidth="1"/>
    <col min="9946" max="9946" width="10.5703125" style="73" customWidth="1"/>
    <col min="9947" max="9947" width="9.28515625" style="73" customWidth="1"/>
    <col min="9948" max="9948" width="11.28515625" style="73" customWidth="1"/>
    <col min="9949" max="9949" width="7.5703125" style="73" customWidth="1"/>
    <col min="9950" max="9950" width="11.140625" style="73" customWidth="1"/>
    <col min="9951" max="9951" width="11.85546875" style="73" customWidth="1"/>
    <col min="9952" max="9953" width="9.28515625" style="73" customWidth="1"/>
    <col min="9954" max="9954" width="12.5703125" style="73" customWidth="1"/>
    <col min="9955" max="9955" width="9.28515625" style="73" customWidth="1"/>
    <col min="9956" max="9956" width="9.28515625" style="73" bestFit="1" customWidth="1"/>
    <col min="9957" max="9957" width="11.28515625" style="73" bestFit="1" customWidth="1"/>
    <col min="9958" max="9958" width="9.28515625" style="73" bestFit="1" customWidth="1"/>
    <col min="9959" max="9959" width="10.85546875" style="73" customWidth="1"/>
    <col min="9960" max="9960" width="9.28515625" style="73" customWidth="1"/>
    <col min="9961" max="9961" width="10" style="73" customWidth="1"/>
    <col min="9962" max="9962" width="10.85546875" style="73" customWidth="1"/>
    <col min="9963" max="9963" width="9.42578125" style="73" customWidth="1"/>
    <col min="9964" max="9964" width="10" style="73" customWidth="1"/>
    <col min="9965" max="9965" width="9.42578125" style="73" bestFit="1" customWidth="1"/>
    <col min="9966" max="9966" width="10.28515625" style="73" bestFit="1" customWidth="1"/>
    <col min="9967" max="9967" width="9.42578125" style="73" customWidth="1"/>
    <col min="9968" max="9968" width="10" style="73" customWidth="1"/>
    <col min="9969" max="9969" width="9.42578125" style="73" bestFit="1" customWidth="1"/>
    <col min="9970" max="9970" width="11" style="73" customWidth="1"/>
    <col min="9971" max="9971" width="9.28515625" style="73" bestFit="1" customWidth="1"/>
    <col min="9972" max="9972" width="9.140625" style="73"/>
    <col min="9973" max="9973" width="9.42578125" style="73" bestFit="1" customWidth="1"/>
    <col min="9974" max="9974" width="9.140625" style="73"/>
    <col min="9975" max="9975" width="9.42578125" style="73" bestFit="1" customWidth="1"/>
    <col min="9976" max="9976" width="9.140625" style="73"/>
    <col min="9977" max="9978" width="9.42578125" style="73" bestFit="1" customWidth="1"/>
    <col min="9979" max="9979" width="9.140625" style="73"/>
    <col min="9980" max="9980" width="9.28515625" style="73" bestFit="1" customWidth="1"/>
    <col min="9981" max="9981" width="9.140625" style="73"/>
    <col min="9982" max="9983" width="9.42578125" style="73" bestFit="1" customWidth="1"/>
    <col min="9984" max="10183" width="9.140625" style="73"/>
    <col min="10184" max="10184" width="8.7109375" style="73" customWidth="1"/>
    <col min="10185" max="10185" width="8.85546875" style="73" bestFit="1" customWidth="1"/>
    <col min="10186" max="10186" width="12.42578125" style="73" customWidth="1"/>
    <col min="10187" max="10187" width="13.7109375" style="73" customWidth="1"/>
    <col min="10188" max="10188" width="15.85546875" style="73" customWidth="1"/>
    <col min="10189" max="10189" width="14.85546875" style="73" customWidth="1"/>
    <col min="10190" max="10190" width="17.140625" style="73" customWidth="1"/>
    <col min="10191" max="10191" width="11.7109375" style="73" customWidth="1"/>
    <col min="10192" max="10192" width="11.28515625" style="73" customWidth="1"/>
    <col min="10193" max="10193" width="7.5703125" style="73" customWidth="1"/>
    <col min="10194" max="10194" width="8.7109375" style="73" customWidth="1"/>
    <col min="10195" max="10195" width="10.85546875" style="73" customWidth="1"/>
    <col min="10196" max="10196" width="53.7109375" style="73" customWidth="1"/>
    <col min="10197" max="10197" width="47.85546875" style="73" customWidth="1"/>
    <col min="10198" max="10198" width="9.28515625" style="73" customWidth="1"/>
    <col min="10199" max="10199" width="10.5703125" style="73" customWidth="1"/>
    <col min="10200" max="10200" width="9.28515625" style="73" customWidth="1"/>
    <col min="10201" max="10201" width="11.140625" style="73" customWidth="1"/>
    <col min="10202" max="10202" width="10.5703125" style="73" customWidth="1"/>
    <col min="10203" max="10203" width="9.28515625" style="73" customWidth="1"/>
    <col min="10204" max="10204" width="11.28515625" style="73" customWidth="1"/>
    <col min="10205" max="10205" width="7.5703125" style="73" customWidth="1"/>
    <col min="10206" max="10206" width="11.140625" style="73" customWidth="1"/>
    <col min="10207" max="10207" width="11.85546875" style="73" customWidth="1"/>
    <col min="10208" max="10209" width="9.28515625" style="73" customWidth="1"/>
    <col min="10210" max="10210" width="12.5703125" style="73" customWidth="1"/>
    <col min="10211" max="10211" width="9.28515625" style="73" customWidth="1"/>
    <col min="10212" max="10212" width="9.28515625" style="73" bestFit="1" customWidth="1"/>
    <col min="10213" max="10213" width="11.28515625" style="73" bestFit="1" customWidth="1"/>
    <col min="10214" max="10214" width="9.28515625" style="73" bestFit="1" customWidth="1"/>
    <col min="10215" max="10215" width="10.85546875" style="73" customWidth="1"/>
    <col min="10216" max="10216" width="9.28515625" style="73" customWidth="1"/>
    <col min="10217" max="10217" width="10" style="73" customWidth="1"/>
    <col min="10218" max="10218" width="10.85546875" style="73" customWidth="1"/>
    <col min="10219" max="10219" width="9.42578125" style="73" customWidth="1"/>
    <col min="10220" max="10220" width="10" style="73" customWidth="1"/>
    <col min="10221" max="10221" width="9.42578125" style="73" bestFit="1" customWidth="1"/>
    <col min="10222" max="10222" width="10.28515625" style="73" bestFit="1" customWidth="1"/>
    <col min="10223" max="10223" width="9.42578125" style="73" customWidth="1"/>
    <col min="10224" max="10224" width="10" style="73" customWidth="1"/>
    <col min="10225" max="10225" width="9.42578125" style="73" bestFit="1" customWidth="1"/>
    <col min="10226" max="10226" width="11" style="73" customWidth="1"/>
    <col min="10227" max="10227" width="9.28515625" style="73" bestFit="1" customWidth="1"/>
    <col min="10228" max="10228" width="9.140625" style="73"/>
    <col min="10229" max="10229" width="9.42578125" style="73" bestFit="1" customWidth="1"/>
    <col min="10230" max="10230" width="9.140625" style="73"/>
    <col min="10231" max="10231" width="9.42578125" style="73" bestFit="1" customWidth="1"/>
    <col min="10232" max="10232" width="9.140625" style="73"/>
    <col min="10233" max="10234" width="9.42578125" style="73" bestFit="1" customWidth="1"/>
    <col min="10235" max="10235" width="9.140625" style="73"/>
    <col min="10236" max="10236" width="9.28515625" style="73" bestFit="1" customWidth="1"/>
    <col min="10237" max="10237" width="9.140625" style="73"/>
    <col min="10238" max="10239" width="9.42578125" style="73" bestFit="1" customWidth="1"/>
    <col min="10240" max="10439" width="9.140625" style="73"/>
    <col min="10440" max="10440" width="8.7109375" style="73" customWidth="1"/>
    <col min="10441" max="10441" width="8.85546875" style="73" bestFit="1" customWidth="1"/>
    <col min="10442" max="10442" width="12.42578125" style="73" customWidth="1"/>
    <col min="10443" max="10443" width="13.7109375" style="73" customWidth="1"/>
    <col min="10444" max="10444" width="15.85546875" style="73" customWidth="1"/>
    <col min="10445" max="10445" width="14.85546875" style="73" customWidth="1"/>
    <col min="10446" max="10446" width="17.140625" style="73" customWidth="1"/>
    <col min="10447" max="10447" width="11.7109375" style="73" customWidth="1"/>
    <col min="10448" max="10448" width="11.28515625" style="73" customWidth="1"/>
    <col min="10449" max="10449" width="7.5703125" style="73" customWidth="1"/>
    <col min="10450" max="10450" width="8.7109375" style="73" customWidth="1"/>
    <col min="10451" max="10451" width="10.85546875" style="73" customWidth="1"/>
    <col min="10452" max="10452" width="53.7109375" style="73" customWidth="1"/>
    <col min="10453" max="10453" width="47.85546875" style="73" customWidth="1"/>
    <col min="10454" max="10454" width="9.28515625" style="73" customWidth="1"/>
    <col min="10455" max="10455" width="10.5703125" style="73" customWidth="1"/>
    <col min="10456" max="10456" width="9.28515625" style="73" customWidth="1"/>
    <col min="10457" max="10457" width="11.140625" style="73" customWidth="1"/>
    <col min="10458" max="10458" width="10.5703125" style="73" customWidth="1"/>
    <col min="10459" max="10459" width="9.28515625" style="73" customWidth="1"/>
    <col min="10460" max="10460" width="11.28515625" style="73" customWidth="1"/>
    <col min="10461" max="10461" width="7.5703125" style="73" customWidth="1"/>
    <col min="10462" max="10462" width="11.140625" style="73" customWidth="1"/>
    <col min="10463" max="10463" width="11.85546875" style="73" customWidth="1"/>
    <col min="10464" max="10465" width="9.28515625" style="73" customWidth="1"/>
    <col min="10466" max="10466" width="12.5703125" style="73" customWidth="1"/>
    <col min="10467" max="10467" width="9.28515625" style="73" customWidth="1"/>
    <col min="10468" max="10468" width="9.28515625" style="73" bestFit="1" customWidth="1"/>
    <col min="10469" max="10469" width="11.28515625" style="73" bestFit="1" customWidth="1"/>
    <col min="10470" max="10470" width="9.28515625" style="73" bestFit="1" customWidth="1"/>
    <col min="10471" max="10471" width="10.85546875" style="73" customWidth="1"/>
    <col min="10472" max="10472" width="9.28515625" style="73" customWidth="1"/>
    <col min="10473" max="10473" width="10" style="73" customWidth="1"/>
    <col min="10474" max="10474" width="10.85546875" style="73" customWidth="1"/>
    <col min="10475" max="10475" width="9.42578125" style="73" customWidth="1"/>
    <col min="10476" max="10476" width="10" style="73" customWidth="1"/>
    <col min="10477" max="10477" width="9.42578125" style="73" bestFit="1" customWidth="1"/>
    <col min="10478" max="10478" width="10.28515625" style="73" bestFit="1" customWidth="1"/>
    <col min="10479" max="10479" width="9.42578125" style="73" customWidth="1"/>
    <col min="10480" max="10480" width="10" style="73" customWidth="1"/>
    <col min="10481" max="10481" width="9.42578125" style="73" bestFit="1" customWidth="1"/>
    <col min="10482" max="10482" width="11" style="73" customWidth="1"/>
    <col min="10483" max="10483" width="9.28515625" style="73" bestFit="1" customWidth="1"/>
    <col min="10484" max="10484" width="9.140625" style="73"/>
    <col min="10485" max="10485" width="9.42578125" style="73" bestFit="1" customWidth="1"/>
    <col min="10486" max="10486" width="9.140625" style="73"/>
    <col min="10487" max="10487" width="9.42578125" style="73" bestFit="1" customWidth="1"/>
    <col min="10488" max="10488" width="9.140625" style="73"/>
    <col min="10489" max="10490" width="9.42578125" style="73" bestFit="1" customWidth="1"/>
    <col min="10491" max="10491" width="9.140625" style="73"/>
    <col min="10492" max="10492" width="9.28515625" style="73" bestFit="1" customWidth="1"/>
    <col min="10493" max="10493" width="9.140625" style="73"/>
    <col min="10494" max="10495" width="9.42578125" style="73" bestFit="1" customWidth="1"/>
    <col min="10496" max="10695" width="9.140625" style="73"/>
    <col min="10696" max="10696" width="8.7109375" style="73" customWidth="1"/>
    <col min="10697" max="10697" width="8.85546875" style="73" bestFit="1" customWidth="1"/>
    <col min="10698" max="10698" width="12.42578125" style="73" customWidth="1"/>
    <col min="10699" max="10699" width="13.7109375" style="73" customWidth="1"/>
    <col min="10700" max="10700" width="15.85546875" style="73" customWidth="1"/>
    <col min="10701" max="10701" width="14.85546875" style="73" customWidth="1"/>
    <col min="10702" max="10702" width="17.140625" style="73" customWidth="1"/>
    <col min="10703" max="10703" width="11.7109375" style="73" customWidth="1"/>
    <col min="10704" max="10704" width="11.28515625" style="73" customWidth="1"/>
    <col min="10705" max="10705" width="7.5703125" style="73" customWidth="1"/>
    <col min="10706" max="10706" width="8.7109375" style="73" customWidth="1"/>
    <col min="10707" max="10707" width="10.85546875" style="73" customWidth="1"/>
    <col min="10708" max="10708" width="53.7109375" style="73" customWidth="1"/>
    <col min="10709" max="10709" width="47.85546875" style="73" customWidth="1"/>
    <col min="10710" max="10710" width="9.28515625" style="73" customWidth="1"/>
    <col min="10711" max="10711" width="10.5703125" style="73" customWidth="1"/>
    <col min="10712" max="10712" width="9.28515625" style="73" customWidth="1"/>
    <col min="10713" max="10713" width="11.140625" style="73" customWidth="1"/>
    <col min="10714" max="10714" width="10.5703125" style="73" customWidth="1"/>
    <col min="10715" max="10715" width="9.28515625" style="73" customWidth="1"/>
    <col min="10716" max="10716" width="11.28515625" style="73" customWidth="1"/>
    <col min="10717" max="10717" width="7.5703125" style="73" customWidth="1"/>
    <col min="10718" max="10718" width="11.140625" style="73" customWidth="1"/>
    <col min="10719" max="10719" width="11.85546875" style="73" customWidth="1"/>
    <col min="10720" max="10721" width="9.28515625" style="73" customWidth="1"/>
    <col min="10722" max="10722" width="12.5703125" style="73" customWidth="1"/>
    <col min="10723" max="10723" width="9.28515625" style="73" customWidth="1"/>
    <col min="10724" max="10724" width="9.28515625" style="73" bestFit="1" customWidth="1"/>
    <col min="10725" max="10725" width="11.28515625" style="73" bestFit="1" customWidth="1"/>
    <col min="10726" max="10726" width="9.28515625" style="73" bestFit="1" customWidth="1"/>
    <col min="10727" max="10727" width="10.85546875" style="73" customWidth="1"/>
    <col min="10728" max="10728" width="9.28515625" style="73" customWidth="1"/>
    <col min="10729" max="10729" width="10" style="73" customWidth="1"/>
    <col min="10730" max="10730" width="10.85546875" style="73" customWidth="1"/>
    <col min="10731" max="10731" width="9.42578125" style="73" customWidth="1"/>
    <col min="10732" max="10732" width="10" style="73" customWidth="1"/>
    <col min="10733" max="10733" width="9.42578125" style="73" bestFit="1" customWidth="1"/>
    <col min="10734" max="10734" width="10.28515625" style="73" bestFit="1" customWidth="1"/>
    <col min="10735" max="10735" width="9.42578125" style="73" customWidth="1"/>
    <col min="10736" max="10736" width="10" style="73" customWidth="1"/>
    <col min="10737" max="10737" width="9.42578125" style="73" bestFit="1" customWidth="1"/>
    <col min="10738" max="10738" width="11" style="73" customWidth="1"/>
    <col min="10739" max="10739" width="9.28515625" style="73" bestFit="1" customWidth="1"/>
    <col min="10740" max="10740" width="9.140625" style="73"/>
    <col min="10741" max="10741" width="9.42578125" style="73" bestFit="1" customWidth="1"/>
    <col min="10742" max="10742" width="9.140625" style="73"/>
    <col min="10743" max="10743" width="9.42578125" style="73" bestFit="1" customWidth="1"/>
    <col min="10744" max="10744" width="9.140625" style="73"/>
    <col min="10745" max="10746" width="9.42578125" style="73" bestFit="1" customWidth="1"/>
    <col min="10747" max="10747" width="9.140625" style="73"/>
    <col min="10748" max="10748" width="9.28515625" style="73" bestFit="1" customWidth="1"/>
    <col min="10749" max="10749" width="9.140625" style="73"/>
    <col min="10750" max="10751" width="9.42578125" style="73" bestFit="1" customWidth="1"/>
    <col min="10752" max="10951" width="9.140625" style="73"/>
    <col min="10952" max="10952" width="8.7109375" style="73" customWidth="1"/>
    <col min="10953" max="10953" width="8.85546875" style="73" bestFit="1" customWidth="1"/>
    <col min="10954" max="10954" width="12.42578125" style="73" customWidth="1"/>
    <col min="10955" max="10955" width="13.7109375" style="73" customWidth="1"/>
    <col min="10956" max="10956" width="15.85546875" style="73" customWidth="1"/>
    <col min="10957" max="10957" width="14.85546875" style="73" customWidth="1"/>
    <col min="10958" max="10958" width="17.140625" style="73" customWidth="1"/>
    <col min="10959" max="10959" width="11.7109375" style="73" customWidth="1"/>
    <col min="10960" max="10960" width="11.28515625" style="73" customWidth="1"/>
    <col min="10961" max="10961" width="7.5703125" style="73" customWidth="1"/>
    <col min="10962" max="10962" width="8.7109375" style="73" customWidth="1"/>
    <col min="10963" max="10963" width="10.85546875" style="73" customWidth="1"/>
    <col min="10964" max="10964" width="53.7109375" style="73" customWidth="1"/>
    <col min="10965" max="10965" width="47.85546875" style="73" customWidth="1"/>
    <col min="10966" max="10966" width="9.28515625" style="73" customWidth="1"/>
    <col min="10967" max="10967" width="10.5703125" style="73" customWidth="1"/>
    <col min="10968" max="10968" width="9.28515625" style="73" customWidth="1"/>
    <col min="10969" max="10969" width="11.140625" style="73" customWidth="1"/>
    <col min="10970" max="10970" width="10.5703125" style="73" customWidth="1"/>
    <col min="10971" max="10971" width="9.28515625" style="73" customWidth="1"/>
    <col min="10972" max="10972" width="11.28515625" style="73" customWidth="1"/>
    <col min="10973" max="10973" width="7.5703125" style="73" customWidth="1"/>
    <col min="10974" max="10974" width="11.140625" style="73" customWidth="1"/>
    <col min="10975" max="10975" width="11.85546875" style="73" customWidth="1"/>
    <col min="10976" max="10977" width="9.28515625" style="73" customWidth="1"/>
    <col min="10978" max="10978" width="12.5703125" style="73" customWidth="1"/>
    <col min="10979" max="10979" width="9.28515625" style="73" customWidth="1"/>
    <col min="10980" max="10980" width="9.28515625" style="73" bestFit="1" customWidth="1"/>
    <col min="10981" max="10981" width="11.28515625" style="73" bestFit="1" customWidth="1"/>
    <col min="10982" max="10982" width="9.28515625" style="73" bestFit="1" customWidth="1"/>
    <col min="10983" max="10983" width="10.85546875" style="73" customWidth="1"/>
    <col min="10984" max="10984" width="9.28515625" style="73" customWidth="1"/>
    <col min="10985" max="10985" width="10" style="73" customWidth="1"/>
    <col min="10986" max="10986" width="10.85546875" style="73" customWidth="1"/>
    <col min="10987" max="10987" width="9.42578125" style="73" customWidth="1"/>
    <col min="10988" max="10988" width="10" style="73" customWidth="1"/>
    <col min="10989" max="10989" width="9.42578125" style="73" bestFit="1" customWidth="1"/>
    <col min="10990" max="10990" width="10.28515625" style="73" bestFit="1" customWidth="1"/>
    <col min="10991" max="10991" width="9.42578125" style="73" customWidth="1"/>
    <col min="10992" max="10992" width="10" style="73" customWidth="1"/>
    <col min="10993" max="10993" width="9.42578125" style="73" bestFit="1" customWidth="1"/>
    <col min="10994" max="10994" width="11" style="73" customWidth="1"/>
    <col min="10995" max="10995" width="9.28515625" style="73" bestFit="1" customWidth="1"/>
    <col min="10996" max="10996" width="9.140625" style="73"/>
    <col min="10997" max="10997" width="9.42578125" style="73" bestFit="1" customWidth="1"/>
    <col min="10998" max="10998" width="9.140625" style="73"/>
    <col min="10999" max="10999" width="9.42578125" style="73" bestFit="1" customWidth="1"/>
    <col min="11000" max="11000" width="9.140625" style="73"/>
    <col min="11001" max="11002" width="9.42578125" style="73" bestFit="1" customWidth="1"/>
    <col min="11003" max="11003" width="9.140625" style="73"/>
    <col min="11004" max="11004" width="9.28515625" style="73" bestFit="1" customWidth="1"/>
    <col min="11005" max="11005" width="9.140625" style="73"/>
    <col min="11006" max="11007" width="9.42578125" style="73" bestFit="1" customWidth="1"/>
    <col min="11008" max="11207" width="9.140625" style="73"/>
    <col min="11208" max="11208" width="8.7109375" style="73" customWidth="1"/>
    <col min="11209" max="11209" width="8.85546875" style="73" bestFit="1" customWidth="1"/>
    <col min="11210" max="11210" width="12.42578125" style="73" customWidth="1"/>
    <col min="11211" max="11211" width="13.7109375" style="73" customWidth="1"/>
    <col min="11212" max="11212" width="15.85546875" style="73" customWidth="1"/>
    <col min="11213" max="11213" width="14.85546875" style="73" customWidth="1"/>
    <col min="11214" max="11214" width="17.140625" style="73" customWidth="1"/>
    <col min="11215" max="11215" width="11.7109375" style="73" customWidth="1"/>
    <col min="11216" max="11216" width="11.28515625" style="73" customWidth="1"/>
    <col min="11217" max="11217" width="7.5703125" style="73" customWidth="1"/>
    <col min="11218" max="11218" width="8.7109375" style="73" customWidth="1"/>
    <col min="11219" max="11219" width="10.85546875" style="73" customWidth="1"/>
    <col min="11220" max="11220" width="53.7109375" style="73" customWidth="1"/>
    <col min="11221" max="11221" width="47.85546875" style="73" customWidth="1"/>
    <col min="11222" max="11222" width="9.28515625" style="73" customWidth="1"/>
    <col min="11223" max="11223" width="10.5703125" style="73" customWidth="1"/>
    <col min="11224" max="11224" width="9.28515625" style="73" customWidth="1"/>
    <col min="11225" max="11225" width="11.140625" style="73" customWidth="1"/>
    <col min="11226" max="11226" width="10.5703125" style="73" customWidth="1"/>
    <col min="11227" max="11227" width="9.28515625" style="73" customWidth="1"/>
    <col min="11228" max="11228" width="11.28515625" style="73" customWidth="1"/>
    <col min="11229" max="11229" width="7.5703125" style="73" customWidth="1"/>
    <col min="11230" max="11230" width="11.140625" style="73" customWidth="1"/>
    <col min="11231" max="11231" width="11.85546875" style="73" customWidth="1"/>
    <col min="11232" max="11233" width="9.28515625" style="73" customWidth="1"/>
    <col min="11234" max="11234" width="12.5703125" style="73" customWidth="1"/>
    <col min="11235" max="11235" width="9.28515625" style="73" customWidth="1"/>
    <col min="11236" max="11236" width="9.28515625" style="73" bestFit="1" customWidth="1"/>
    <col min="11237" max="11237" width="11.28515625" style="73" bestFit="1" customWidth="1"/>
    <col min="11238" max="11238" width="9.28515625" style="73" bestFit="1" customWidth="1"/>
    <col min="11239" max="11239" width="10.85546875" style="73" customWidth="1"/>
    <col min="11240" max="11240" width="9.28515625" style="73" customWidth="1"/>
    <col min="11241" max="11241" width="10" style="73" customWidth="1"/>
    <col min="11242" max="11242" width="10.85546875" style="73" customWidth="1"/>
    <col min="11243" max="11243" width="9.42578125" style="73" customWidth="1"/>
    <col min="11244" max="11244" width="10" style="73" customWidth="1"/>
    <col min="11245" max="11245" width="9.42578125" style="73" bestFit="1" customWidth="1"/>
    <col min="11246" max="11246" width="10.28515625" style="73" bestFit="1" customWidth="1"/>
    <col min="11247" max="11247" width="9.42578125" style="73" customWidth="1"/>
    <col min="11248" max="11248" width="10" style="73" customWidth="1"/>
    <col min="11249" max="11249" width="9.42578125" style="73" bestFit="1" customWidth="1"/>
    <col min="11250" max="11250" width="11" style="73" customWidth="1"/>
    <col min="11251" max="11251" width="9.28515625" style="73" bestFit="1" customWidth="1"/>
    <col min="11252" max="11252" width="9.140625" style="73"/>
    <col min="11253" max="11253" width="9.42578125" style="73" bestFit="1" customWidth="1"/>
    <col min="11254" max="11254" width="9.140625" style="73"/>
    <col min="11255" max="11255" width="9.42578125" style="73" bestFit="1" customWidth="1"/>
    <col min="11256" max="11256" width="9.140625" style="73"/>
    <col min="11257" max="11258" width="9.42578125" style="73" bestFit="1" customWidth="1"/>
    <col min="11259" max="11259" width="9.140625" style="73"/>
    <col min="11260" max="11260" width="9.28515625" style="73" bestFit="1" customWidth="1"/>
    <col min="11261" max="11261" width="9.140625" style="73"/>
    <col min="11262" max="11263" width="9.42578125" style="73" bestFit="1" customWidth="1"/>
    <col min="11264" max="11463" width="9.140625" style="73"/>
    <col min="11464" max="11464" width="8.7109375" style="73" customWidth="1"/>
    <col min="11465" max="11465" width="8.85546875" style="73" bestFit="1" customWidth="1"/>
    <col min="11466" max="11466" width="12.42578125" style="73" customWidth="1"/>
    <col min="11467" max="11467" width="13.7109375" style="73" customWidth="1"/>
    <col min="11468" max="11468" width="15.85546875" style="73" customWidth="1"/>
    <col min="11469" max="11469" width="14.85546875" style="73" customWidth="1"/>
    <col min="11470" max="11470" width="17.140625" style="73" customWidth="1"/>
    <col min="11471" max="11471" width="11.7109375" style="73" customWidth="1"/>
    <col min="11472" max="11472" width="11.28515625" style="73" customWidth="1"/>
    <col min="11473" max="11473" width="7.5703125" style="73" customWidth="1"/>
    <col min="11474" max="11474" width="8.7109375" style="73" customWidth="1"/>
    <col min="11475" max="11475" width="10.85546875" style="73" customWidth="1"/>
    <col min="11476" max="11476" width="53.7109375" style="73" customWidth="1"/>
    <col min="11477" max="11477" width="47.85546875" style="73" customWidth="1"/>
    <col min="11478" max="11478" width="9.28515625" style="73" customWidth="1"/>
    <col min="11479" max="11479" width="10.5703125" style="73" customWidth="1"/>
    <col min="11480" max="11480" width="9.28515625" style="73" customWidth="1"/>
    <col min="11481" max="11481" width="11.140625" style="73" customWidth="1"/>
    <col min="11482" max="11482" width="10.5703125" style="73" customWidth="1"/>
    <col min="11483" max="11483" width="9.28515625" style="73" customWidth="1"/>
    <col min="11484" max="11484" width="11.28515625" style="73" customWidth="1"/>
    <col min="11485" max="11485" width="7.5703125" style="73" customWidth="1"/>
    <col min="11486" max="11486" width="11.140625" style="73" customWidth="1"/>
    <col min="11487" max="11487" width="11.85546875" style="73" customWidth="1"/>
    <col min="11488" max="11489" width="9.28515625" style="73" customWidth="1"/>
    <col min="11490" max="11490" width="12.5703125" style="73" customWidth="1"/>
    <col min="11491" max="11491" width="9.28515625" style="73" customWidth="1"/>
    <col min="11492" max="11492" width="9.28515625" style="73" bestFit="1" customWidth="1"/>
    <col min="11493" max="11493" width="11.28515625" style="73" bestFit="1" customWidth="1"/>
    <col min="11494" max="11494" width="9.28515625" style="73" bestFit="1" customWidth="1"/>
    <col min="11495" max="11495" width="10.85546875" style="73" customWidth="1"/>
    <col min="11496" max="11496" width="9.28515625" style="73" customWidth="1"/>
    <col min="11497" max="11497" width="10" style="73" customWidth="1"/>
    <col min="11498" max="11498" width="10.85546875" style="73" customWidth="1"/>
    <col min="11499" max="11499" width="9.42578125" style="73" customWidth="1"/>
    <col min="11500" max="11500" width="10" style="73" customWidth="1"/>
    <col min="11501" max="11501" width="9.42578125" style="73" bestFit="1" customWidth="1"/>
    <col min="11502" max="11502" width="10.28515625" style="73" bestFit="1" customWidth="1"/>
    <col min="11503" max="11503" width="9.42578125" style="73" customWidth="1"/>
    <col min="11504" max="11504" width="10" style="73" customWidth="1"/>
    <col min="11505" max="11505" width="9.42578125" style="73" bestFit="1" customWidth="1"/>
    <col min="11506" max="11506" width="11" style="73" customWidth="1"/>
    <col min="11507" max="11507" width="9.28515625" style="73" bestFit="1" customWidth="1"/>
    <col min="11508" max="11508" width="9.140625" style="73"/>
    <col min="11509" max="11509" width="9.42578125" style="73" bestFit="1" customWidth="1"/>
    <col min="11510" max="11510" width="9.140625" style="73"/>
    <col min="11511" max="11511" width="9.42578125" style="73" bestFit="1" customWidth="1"/>
    <col min="11512" max="11512" width="9.140625" style="73"/>
    <col min="11513" max="11514" width="9.42578125" style="73" bestFit="1" customWidth="1"/>
    <col min="11515" max="11515" width="9.140625" style="73"/>
    <col min="11516" max="11516" width="9.28515625" style="73" bestFit="1" customWidth="1"/>
    <col min="11517" max="11517" width="9.140625" style="73"/>
    <col min="11518" max="11519" width="9.42578125" style="73" bestFit="1" customWidth="1"/>
    <col min="11520" max="11719" width="9.140625" style="73"/>
    <col min="11720" max="11720" width="8.7109375" style="73" customWidth="1"/>
    <col min="11721" max="11721" width="8.85546875" style="73" bestFit="1" customWidth="1"/>
    <col min="11722" max="11722" width="12.42578125" style="73" customWidth="1"/>
    <col min="11723" max="11723" width="13.7109375" style="73" customWidth="1"/>
    <col min="11724" max="11724" width="15.85546875" style="73" customWidth="1"/>
    <col min="11725" max="11725" width="14.85546875" style="73" customWidth="1"/>
    <col min="11726" max="11726" width="17.140625" style="73" customWidth="1"/>
    <col min="11727" max="11727" width="11.7109375" style="73" customWidth="1"/>
    <col min="11728" max="11728" width="11.28515625" style="73" customWidth="1"/>
    <col min="11729" max="11729" width="7.5703125" style="73" customWidth="1"/>
    <col min="11730" max="11730" width="8.7109375" style="73" customWidth="1"/>
    <col min="11731" max="11731" width="10.85546875" style="73" customWidth="1"/>
    <col min="11732" max="11732" width="53.7109375" style="73" customWidth="1"/>
    <col min="11733" max="11733" width="47.85546875" style="73" customWidth="1"/>
    <col min="11734" max="11734" width="9.28515625" style="73" customWidth="1"/>
    <col min="11735" max="11735" width="10.5703125" style="73" customWidth="1"/>
    <col min="11736" max="11736" width="9.28515625" style="73" customWidth="1"/>
    <col min="11737" max="11737" width="11.140625" style="73" customWidth="1"/>
    <col min="11738" max="11738" width="10.5703125" style="73" customWidth="1"/>
    <col min="11739" max="11739" width="9.28515625" style="73" customWidth="1"/>
    <col min="11740" max="11740" width="11.28515625" style="73" customWidth="1"/>
    <col min="11741" max="11741" width="7.5703125" style="73" customWidth="1"/>
    <col min="11742" max="11742" width="11.140625" style="73" customWidth="1"/>
    <col min="11743" max="11743" width="11.85546875" style="73" customWidth="1"/>
    <col min="11744" max="11745" width="9.28515625" style="73" customWidth="1"/>
    <col min="11746" max="11746" width="12.5703125" style="73" customWidth="1"/>
    <col min="11747" max="11747" width="9.28515625" style="73" customWidth="1"/>
    <col min="11748" max="11748" width="9.28515625" style="73" bestFit="1" customWidth="1"/>
    <col min="11749" max="11749" width="11.28515625" style="73" bestFit="1" customWidth="1"/>
    <col min="11750" max="11750" width="9.28515625" style="73" bestFit="1" customWidth="1"/>
    <col min="11751" max="11751" width="10.85546875" style="73" customWidth="1"/>
    <col min="11752" max="11752" width="9.28515625" style="73" customWidth="1"/>
    <col min="11753" max="11753" width="10" style="73" customWidth="1"/>
    <col min="11754" max="11754" width="10.85546875" style="73" customWidth="1"/>
    <col min="11755" max="11755" width="9.42578125" style="73" customWidth="1"/>
    <col min="11756" max="11756" width="10" style="73" customWidth="1"/>
    <col min="11757" max="11757" width="9.42578125" style="73" bestFit="1" customWidth="1"/>
    <col min="11758" max="11758" width="10.28515625" style="73" bestFit="1" customWidth="1"/>
    <col min="11759" max="11759" width="9.42578125" style="73" customWidth="1"/>
    <col min="11760" max="11760" width="10" style="73" customWidth="1"/>
    <col min="11761" max="11761" width="9.42578125" style="73" bestFit="1" customWidth="1"/>
    <col min="11762" max="11762" width="11" style="73" customWidth="1"/>
    <col min="11763" max="11763" width="9.28515625" style="73" bestFit="1" customWidth="1"/>
    <col min="11764" max="11764" width="9.140625" style="73"/>
    <col min="11765" max="11765" width="9.42578125" style="73" bestFit="1" customWidth="1"/>
    <col min="11766" max="11766" width="9.140625" style="73"/>
    <col min="11767" max="11767" width="9.42578125" style="73" bestFit="1" customWidth="1"/>
    <col min="11768" max="11768" width="9.140625" style="73"/>
    <col min="11769" max="11770" width="9.42578125" style="73" bestFit="1" customWidth="1"/>
    <col min="11771" max="11771" width="9.140625" style="73"/>
    <col min="11772" max="11772" width="9.28515625" style="73" bestFit="1" customWidth="1"/>
    <col min="11773" max="11773" width="9.140625" style="73"/>
    <col min="11774" max="11775" width="9.42578125" style="73" bestFit="1" customWidth="1"/>
    <col min="11776" max="11975" width="9.140625" style="73"/>
    <col min="11976" max="11976" width="8.7109375" style="73" customWidth="1"/>
    <col min="11977" max="11977" width="8.85546875" style="73" bestFit="1" customWidth="1"/>
    <col min="11978" max="11978" width="12.42578125" style="73" customWidth="1"/>
    <col min="11979" max="11979" width="13.7109375" style="73" customWidth="1"/>
    <col min="11980" max="11980" width="15.85546875" style="73" customWidth="1"/>
    <col min="11981" max="11981" width="14.85546875" style="73" customWidth="1"/>
    <col min="11982" max="11982" width="17.140625" style="73" customWidth="1"/>
    <col min="11983" max="11983" width="11.7109375" style="73" customWidth="1"/>
    <col min="11984" max="11984" width="11.28515625" style="73" customWidth="1"/>
    <col min="11985" max="11985" width="7.5703125" style="73" customWidth="1"/>
    <col min="11986" max="11986" width="8.7109375" style="73" customWidth="1"/>
    <col min="11987" max="11987" width="10.85546875" style="73" customWidth="1"/>
    <col min="11988" max="11988" width="53.7109375" style="73" customWidth="1"/>
    <col min="11989" max="11989" width="47.85546875" style="73" customWidth="1"/>
    <col min="11990" max="11990" width="9.28515625" style="73" customWidth="1"/>
    <col min="11991" max="11991" width="10.5703125" style="73" customWidth="1"/>
    <col min="11992" max="11992" width="9.28515625" style="73" customWidth="1"/>
    <col min="11993" max="11993" width="11.140625" style="73" customWidth="1"/>
    <col min="11994" max="11994" width="10.5703125" style="73" customWidth="1"/>
    <col min="11995" max="11995" width="9.28515625" style="73" customWidth="1"/>
    <col min="11996" max="11996" width="11.28515625" style="73" customWidth="1"/>
    <col min="11997" max="11997" width="7.5703125" style="73" customWidth="1"/>
    <col min="11998" max="11998" width="11.140625" style="73" customWidth="1"/>
    <col min="11999" max="11999" width="11.85546875" style="73" customWidth="1"/>
    <col min="12000" max="12001" width="9.28515625" style="73" customWidth="1"/>
    <col min="12002" max="12002" width="12.5703125" style="73" customWidth="1"/>
    <col min="12003" max="12003" width="9.28515625" style="73" customWidth="1"/>
    <col min="12004" max="12004" width="9.28515625" style="73" bestFit="1" customWidth="1"/>
    <col min="12005" max="12005" width="11.28515625" style="73" bestFit="1" customWidth="1"/>
    <col min="12006" max="12006" width="9.28515625" style="73" bestFit="1" customWidth="1"/>
    <col min="12007" max="12007" width="10.85546875" style="73" customWidth="1"/>
    <col min="12008" max="12008" width="9.28515625" style="73" customWidth="1"/>
    <col min="12009" max="12009" width="10" style="73" customWidth="1"/>
    <col min="12010" max="12010" width="10.85546875" style="73" customWidth="1"/>
    <col min="12011" max="12011" width="9.42578125" style="73" customWidth="1"/>
    <col min="12012" max="12012" width="10" style="73" customWidth="1"/>
    <col min="12013" max="12013" width="9.42578125" style="73" bestFit="1" customWidth="1"/>
    <col min="12014" max="12014" width="10.28515625" style="73" bestFit="1" customWidth="1"/>
    <col min="12015" max="12015" width="9.42578125" style="73" customWidth="1"/>
    <col min="12016" max="12016" width="10" style="73" customWidth="1"/>
    <col min="12017" max="12017" width="9.42578125" style="73" bestFit="1" customWidth="1"/>
    <col min="12018" max="12018" width="11" style="73" customWidth="1"/>
    <col min="12019" max="12019" width="9.28515625" style="73" bestFit="1" customWidth="1"/>
    <col min="12020" max="12020" width="9.140625" style="73"/>
    <col min="12021" max="12021" width="9.42578125" style="73" bestFit="1" customWidth="1"/>
    <col min="12022" max="12022" width="9.140625" style="73"/>
    <col min="12023" max="12023" width="9.42578125" style="73" bestFit="1" customWidth="1"/>
    <col min="12024" max="12024" width="9.140625" style="73"/>
    <col min="12025" max="12026" width="9.42578125" style="73" bestFit="1" customWidth="1"/>
    <col min="12027" max="12027" width="9.140625" style="73"/>
    <col min="12028" max="12028" width="9.28515625" style="73" bestFit="1" customWidth="1"/>
    <col min="12029" max="12029" width="9.140625" style="73"/>
    <col min="12030" max="12031" width="9.42578125" style="73" bestFit="1" customWidth="1"/>
    <col min="12032" max="12231" width="9.140625" style="73"/>
    <col min="12232" max="12232" width="8.7109375" style="73" customWidth="1"/>
    <col min="12233" max="12233" width="8.85546875" style="73" bestFit="1" customWidth="1"/>
    <col min="12234" max="12234" width="12.42578125" style="73" customWidth="1"/>
    <col min="12235" max="12235" width="13.7109375" style="73" customWidth="1"/>
    <col min="12236" max="12236" width="15.85546875" style="73" customWidth="1"/>
    <col min="12237" max="12237" width="14.85546875" style="73" customWidth="1"/>
    <col min="12238" max="12238" width="17.140625" style="73" customWidth="1"/>
    <col min="12239" max="12239" width="11.7109375" style="73" customWidth="1"/>
    <col min="12240" max="12240" width="11.28515625" style="73" customWidth="1"/>
    <col min="12241" max="12241" width="7.5703125" style="73" customWidth="1"/>
    <col min="12242" max="12242" width="8.7109375" style="73" customWidth="1"/>
    <col min="12243" max="12243" width="10.85546875" style="73" customWidth="1"/>
    <col min="12244" max="12244" width="53.7109375" style="73" customWidth="1"/>
    <col min="12245" max="12245" width="47.85546875" style="73" customWidth="1"/>
    <col min="12246" max="12246" width="9.28515625" style="73" customWidth="1"/>
    <col min="12247" max="12247" width="10.5703125" style="73" customWidth="1"/>
    <col min="12248" max="12248" width="9.28515625" style="73" customWidth="1"/>
    <col min="12249" max="12249" width="11.140625" style="73" customWidth="1"/>
    <col min="12250" max="12250" width="10.5703125" style="73" customWidth="1"/>
    <col min="12251" max="12251" width="9.28515625" style="73" customWidth="1"/>
    <col min="12252" max="12252" width="11.28515625" style="73" customWidth="1"/>
    <col min="12253" max="12253" width="7.5703125" style="73" customWidth="1"/>
    <col min="12254" max="12254" width="11.140625" style="73" customWidth="1"/>
    <col min="12255" max="12255" width="11.85546875" style="73" customWidth="1"/>
    <col min="12256" max="12257" width="9.28515625" style="73" customWidth="1"/>
    <col min="12258" max="12258" width="12.5703125" style="73" customWidth="1"/>
    <col min="12259" max="12259" width="9.28515625" style="73" customWidth="1"/>
    <col min="12260" max="12260" width="9.28515625" style="73" bestFit="1" customWidth="1"/>
    <col min="12261" max="12261" width="11.28515625" style="73" bestFit="1" customWidth="1"/>
    <col min="12262" max="12262" width="9.28515625" style="73" bestFit="1" customWidth="1"/>
    <col min="12263" max="12263" width="10.85546875" style="73" customWidth="1"/>
    <col min="12264" max="12264" width="9.28515625" style="73" customWidth="1"/>
    <col min="12265" max="12265" width="10" style="73" customWidth="1"/>
    <col min="12266" max="12266" width="10.85546875" style="73" customWidth="1"/>
    <col min="12267" max="12267" width="9.42578125" style="73" customWidth="1"/>
    <col min="12268" max="12268" width="10" style="73" customWidth="1"/>
    <col min="12269" max="12269" width="9.42578125" style="73" bestFit="1" customWidth="1"/>
    <col min="12270" max="12270" width="10.28515625" style="73" bestFit="1" customWidth="1"/>
    <col min="12271" max="12271" width="9.42578125" style="73" customWidth="1"/>
    <col min="12272" max="12272" width="10" style="73" customWidth="1"/>
    <col min="12273" max="12273" width="9.42578125" style="73" bestFit="1" customWidth="1"/>
    <col min="12274" max="12274" width="11" style="73" customWidth="1"/>
    <col min="12275" max="12275" width="9.28515625" style="73" bestFit="1" customWidth="1"/>
    <col min="12276" max="12276" width="9.140625" style="73"/>
    <col min="12277" max="12277" width="9.42578125" style="73" bestFit="1" customWidth="1"/>
    <col min="12278" max="12278" width="9.140625" style="73"/>
    <col min="12279" max="12279" width="9.42578125" style="73" bestFit="1" customWidth="1"/>
    <col min="12280" max="12280" width="9.140625" style="73"/>
    <col min="12281" max="12282" width="9.42578125" style="73" bestFit="1" customWidth="1"/>
    <col min="12283" max="12283" width="9.140625" style="73"/>
    <col min="12284" max="12284" width="9.28515625" style="73" bestFit="1" customWidth="1"/>
    <col min="12285" max="12285" width="9.140625" style="73"/>
    <col min="12286" max="12287" width="9.42578125" style="73" bestFit="1" customWidth="1"/>
    <col min="12288" max="12487" width="9.140625" style="73"/>
    <col min="12488" max="12488" width="8.7109375" style="73" customWidth="1"/>
    <col min="12489" max="12489" width="8.85546875" style="73" bestFit="1" customWidth="1"/>
    <col min="12490" max="12490" width="12.42578125" style="73" customWidth="1"/>
    <col min="12491" max="12491" width="13.7109375" style="73" customWidth="1"/>
    <col min="12492" max="12492" width="15.85546875" style="73" customWidth="1"/>
    <col min="12493" max="12493" width="14.85546875" style="73" customWidth="1"/>
    <col min="12494" max="12494" width="17.140625" style="73" customWidth="1"/>
    <col min="12495" max="12495" width="11.7109375" style="73" customWidth="1"/>
    <col min="12496" max="12496" width="11.28515625" style="73" customWidth="1"/>
    <col min="12497" max="12497" width="7.5703125" style="73" customWidth="1"/>
    <col min="12498" max="12498" width="8.7109375" style="73" customWidth="1"/>
    <col min="12499" max="12499" width="10.85546875" style="73" customWidth="1"/>
    <col min="12500" max="12500" width="53.7109375" style="73" customWidth="1"/>
    <col min="12501" max="12501" width="47.85546875" style="73" customWidth="1"/>
    <col min="12502" max="12502" width="9.28515625" style="73" customWidth="1"/>
    <col min="12503" max="12503" width="10.5703125" style="73" customWidth="1"/>
    <col min="12504" max="12504" width="9.28515625" style="73" customWidth="1"/>
    <col min="12505" max="12505" width="11.140625" style="73" customWidth="1"/>
    <col min="12506" max="12506" width="10.5703125" style="73" customWidth="1"/>
    <col min="12507" max="12507" width="9.28515625" style="73" customWidth="1"/>
    <col min="12508" max="12508" width="11.28515625" style="73" customWidth="1"/>
    <col min="12509" max="12509" width="7.5703125" style="73" customWidth="1"/>
    <col min="12510" max="12510" width="11.140625" style="73" customWidth="1"/>
    <col min="12511" max="12511" width="11.85546875" style="73" customWidth="1"/>
    <col min="12512" max="12513" width="9.28515625" style="73" customWidth="1"/>
    <col min="12514" max="12514" width="12.5703125" style="73" customWidth="1"/>
    <col min="12515" max="12515" width="9.28515625" style="73" customWidth="1"/>
    <col min="12516" max="12516" width="9.28515625" style="73" bestFit="1" customWidth="1"/>
    <col min="12517" max="12517" width="11.28515625" style="73" bestFit="1" customWidth="1"/>
    <col min="12518" max="12518" width="9.28515625" style="73" bestFit="1" customWidth="1"/>
    <col min="12519" max="12519" width="10.85546875" style="73" customWidth="1"/>
    <col min="12520" max="12520" width="9.28515625" style="73" customWidth="1"/>
    <col min="12521" max="12521" width="10" style="73" customWidth="1"/>
    <col min="12522" max="12522" width="10.85546875" style="73" customWidth="1"/>
    <col min="12523" max="12523" width="9.42578125" style="73" customWidth="1"/>
    <col min="12524" max="12524" width="10" style="73" customWidth="1"/>
    <col min="12525" max="12525" width="9.42578125" style="73" bestFit="1" customWidth="1"/>
    <col min="12526" max="12526" width="10.28515625" style="73" bestFit="1" customWidth="1"/>
    <col min="12527" max="12527" width="9.42578125" style="73" customWidth="1"/>
    <col min="12528" max="12528" width="10" style="73" customWidth="1"/>
    <col min="12529" max="12529" width="9.42578125" style="73" bestFit="1" customWidth="1"/>
    <col min="12530" max="12530" width="11" style="73" customWidth="1"/>
    <col min="12531" max="12531" width="9.28515625" style="73" bestFit="1" customWidth="1"/>
    <col min="12532" max="12532" width="9.140625" style="73"/>
    <col min="12533" max="12533" width="9.42578125" style="73" bestFit="1" customWidth="1"/>
    <col min="12534" max="12534" width="9.140625" style="73"/>
    <col min="12535" max="12535" width="9.42578125" style="73" bestFit="1" customWidth="1"/>
    <col min="12536" max="12536" width="9.140625" style="73"/>
    <col min="12537" max="12538" width="9.42578125" style="73" bestFit="1" customWidth="1"/>
    <col min="12539" max="12539" width="9.140625" style="73"/>
    <col min="12540" max="12540" width="9.28515625" style="73" bestFit="1" customWidth="1"/>
    <col min="12541" max="12541" width="9.140625" style="73"/>
    <col min="12542" max="12543" width="9.42578125" style="73" bestFit="1" customWidth="1"/>
    <col min="12544" max="12743" width="9.140625" style="73"/>
    <col min="12744" max="12744" width="8.7109375" style="73" customWidth="1"/>
    <col min="12745" max="12745" width="8.85546875" style="73" bestFit="1" customWidth="1"/>
    <col min="12746" max="12746" width="12.42578125" style="73" customWidth="1"/>
    <col min="12747" max="12747" width="13.7109375" style="73" customWidth="1"/>
    <col min="12748" max="12748" width="15.85546875" style="73" customWidth="1"/>
    <col min="12749" max="12749" width="14.85546875" style="73" customWidth="1"/>
    <col min="12750" max="12750" width="17.140625" style="73" customWidth="1"/>
    <col min="12751" max="12751" width="11.7109375" style="73" customWidth="1"/>
    <col min="12752" max="12752" width="11.28515625" style="73" customWidth="1"/>
    <col min="12753" max="12753" width="7.5703125" style="73" customWidth="1"/>
    <col min="12754" max="12754" width="8.7109375" style="73" customWidth="1"/>
    <col min="12755" max="12755" width="10.85546875" style="73" customWidth="1"/>
    <col min="12756" max="12756" width="53.7109375" style="73" customWidth="1"/>
    <col min="12757" max="12757" width="47.85546875" style="73" customWidth="1"/>
    <col min="12758" max="12758" width="9.28515625" style="73" customWidth="1"/>
    <col min="12759" max="12759" width="10.5703125" style="73" customWidth="1"/>
    <col min="12760" max="12760" width="9.28515625" style="73" customWidth="1"/>
    <col min="12761" max="12761" width="11.140625" style="73" customWidth="1"/>
    <col min="12762" max="12762" width="10.5703125" style="73" customWidth="1"/>
    <col min="12763" max="12763" width="9.28515625" style="73" customWidth="1"/>
    <col min="12764" max="12764" width="11.28515625" style="73" customWidth="1"/>
    <col min="12765" max="12765" width="7.5703125" style="73" customWidth="1"/>
    <col min="12766" max="12766" width="11.140625" style="73" customWidth="1"/>
    <col min="12767" max="12767" width="11.85546875" style="73" customWidth="1"/>
    <col min="12768" max="12769" width="9.28515625" style="73" customWidth="1"/>
    <col min="12770" max="12770" width="12.5703125" style="73" customWidth="1"/>
    <col min="12771" max="12771" width="9.28515625" style="73" customWidth="1"/>
    <col min="12772" max="12772" width="9.28515625" style="73" bestFit="1" customWidth="1"/>
    <col min="12773" max="12773" width="11.28515625" style="73" bestFit="1" customWidth="1"/>
    <col min="12774" max="12774" width="9.28515625" style="73" bestFit="1" customWidth="1"/>
    <col min="12775" max="12775" width="10.85546875" style="73" customWidth="1"/>
    <col min="12776" max="12776" width="9.28515625" style="73" customWidth="1"/>
    <col min="12777" max="12777" width="10" style="73" customWidth="1"/>
    <col min="12778" max="12778" width="10.85546875" style="73" customWidth="1"/>
    <col min="12779" max="12779" width="9.42578125" style="73" customWidth="1"/>
    <col min="12780" max="12780" width="10" style="73" customWidth="1"/>
    <col min="12781" max="12781" width="9.42578125" style="73" bestFit="1" customWidth="1"/>
    <col min="12782" max="12782" width="10.28515625" style="73" bestFit="1" customWidth="1"/>
    <col min="12783" max="12783" width="9.42578125" style="73" customWidth="1"/>
    <col min="12784" max="12784" width="10" style="73" customWidth="1"/>
    <col min="12785" max="12785" width="9.42578125" style="73" bestFit="1" customWidth="1"/>
    <col min="12786" max="12786" width="11" style="73" customWidth="1"/>
    <col min="12787" max="12787" width="9.28515625" style="73" bestFit="1" customWidth="1"/>
    <col min="12788" max="12788" width="9.140625" style="73"/>
    <col min="12789" max="12789" width="9.42578125" style="73" bestFit="1" customWidth="1"/>
    <col min="12790" max="12790" width="9.140625" style="73"/>
    <col min="12791" max="12791" width="9.42578125" style="73" bestFit="1" customWidth="1"/>
    <col min="12792" max="12792" width="9.140625" style="73"/>
    <col min="12793" max="12794" width="9.42578125" style="73" bestFit="1" customWidth="1"/>
    <col min="12795" max="12795" width="9.140625" style="73"/>
    <col min="12796" max="12796" width="9.28515625" style="73" bestFit="1" customWidth="1"/>
    <col min="12797" max="12797" width="9.140625" style="73"/>
    <col min="12798" max="12799" width="9.42578125" style="73" bestFit="1" customWidth="1"/>
    <col min="12800" max="12999" width="9.140625" style="73"/>
    <col min="13000" max="13000" width="8.7109375" style="73" customWidth="1"/>
    <col min="13001" max="13001" width="8.85546875" style="73" bestFit="1" customWidth="1"/>
    <col min="13002" max="13002" width="12.42578125" style="73" customWidth="1"/>
    <col min="13003" max="13003" width="13.7109375" style="73" customWidth="1"/>
    <col min="13004" max="13004" width="15.85546875" style="73" customWidth="1"/>
    <col min="13005" max="13005" width="14.85546875" style="73" customWidth="1"/>
    <col min="13006" max="13006" width="17.140625" style="73" customWidth="1"/>
    <col min="13007" max="13007" width="11.7109375" style="73" customWidth="1"/>
    <col min="13008" max="13008" width="11.28515625" style="73" customWidth="1"/>
    <col min="13009" max="13009" width="7.5703125" style="73" customWidth="1"/>
    <col min="13010" max="13010" width="8.7109375" style="73" customWidth="1"/>
    <col min="13011" max="13011" width="10.85546875" style="73" customWidth="1"/>
    <col min="13012" max="13012" width="53.7109375" style="73" customWidth="1"/>
    <col min="13013" max="13013" width="47.85546875" style="73" customWidth="1"/>
    <col min="13014" max="13014" width="9.28515625" style="73" customWidth="1"/>
    <col min="13015" max="13015" width="10.5703125" style="73" customWidth="1"/>
    <col min="13016" max="13016" width="9.28515625" style="73" customWidth="1"/>
    <col min="13017" max="13017" width="11.140625" style="73" customWidth="1"/>
    <col min="13018" max="13018" width="10.5703125" style="73" customWidth="1"/>
    <col min="13019" max="13019" width="9.28515625" style="73" customWidth="1"/>
    <col min="13020" max="13020" width="11.28515625" style="73" customWidth="1"/>
    <col min="13021" max="13021" width="7.5703125" style="73" customWidth="1"/>
    <col min="13022" max="13022" width="11.140625" style="73" customWidth="1"/>
    <col min="13023" max="13023" width="11.85546875" style="73" customWidth="1"/>
    <col min="13024" max="13025" width="9.28515625" style="73" customWidth="1"/>
    <col min="13026" max="13026" width="12.5703125" style="73" customWidth="1"/>
    <col min="13027" max="13027" width="9.28515625" style="73" customWidth="1"/>
    <col min="13028" max="13028" width="9.28515625" style="73" bestFit="1" customWidth="1"/>
    <col min="13029" max="13029" width="11.28515625" style="73" bestFit="1" customWidth="1"/>
    <col min="13030" max="13030" width="9.28515625" style="73" bestFit="1" customWidth="1"/>
    <col min="13031" max="13031" width="10.85546875" style="73" customWidth="1"/>
    <col min="13032" max="13032" width="9.28515625" style="73" customWidth="1"/>
    <col min="13033" max="13033" width="10" style="73" customWidth="1"/>
    <col min="13034" max="13034" width="10.85546875" style="73" customWidth="1"/>
    <col min="13035" max="13035" width="9.42578125" style="73" customWidth="1"/>
    <col min="13036" max="13036" width="10" style="73" customWidth="1"/>
    <col min="13037" max="13037" width="9.42578125" style="73" bestFit="1" customWidth="1"/>
    <col min="13038" max="13038" width="10.28515625" style="73" bestFit="1" customWidth="1"/>
    <col min="13039" max="13039" width="9.42578125" style="73" customWidth="1"/>
    <col min="13040" max="13040" width="10" style="73" customWidth="1"/>
    <col min="13041" max="13041" width="9.42578125" style="73" bestFit="1" customWidth="1"/>
    <col min="13042" max="13042" width="11" style="73" customWidth="1"/>
    <col min="13043" max="13043" width="9.28515625" style="73" bestFit="1" customWidth="1"/>
    <col min="13044" max="13044" width="9.140625" style="73"/>
    <col min="13045" max="13045" width="9.42578125" style="73" bestFit="1" customWidth="1"/>
    <col min="13046" max="13046" width="9.140625" style="73"/>
    <col min="13047" max="13047" width="9.42578125" style="73" bestFit="1" customWidth="1"/>
    <col min="13048" max="13048" width="9.140625" style="73"/>
    <col min="13049" max="13050" width="9.42578125" style="73" bestFit="1" customWidth="1"/>
    <col min="13051" max="13051" width="9.140625" style="73"/>
    <col min="13052" max="13052" width="9.28515625" style="73" bestFit="1" customWidth="1"/>
    <col min="13053" max="13053" width="9.140625" style="73"/>
    <col min="13054" max="13055" width="9.42578125" style="73" bestFit="1" customWidth="1"/>
    <col min="13056" max="13255" width="9.140625" style="73"/>
    <col min="13256" max="13256" width="8.7109375" style="73" customWidth="1"/>
    <col min="13257" max="13257" width="8.85546875" style="73" bestFit="1" customWidth="1"/>
    <col min="13258" max="13258" width="12.42578125" style="73" customWidth="1"/>
    <col min="13259" max="13259" width="13.7109375" style="73" customWidth="1"/>
    <col min="13260" max="13260" width="15.85546875" style="73" customWidth="1"/>
    <col min="13261" max="13261" width="14.85546875" style="73" customWidth="1"/>
    <col min="13262" max="13262" width="17.140625" style="73" customWidth="1"/>
    <col min="13263" max="13263" width="11.7109375" style="73" customWidth="1"/>
    <col min="13264" max="13264" width="11.28515625" style="73" customWidth="1"/>
    <col min="13265" max="13265" width="7.5703125" style="73" customWidth="1"/>
    <col min="13266" max="13266" width="8.7109375" style="73" customWidth="1"/>
    <col min="13267" max="13267" width="10.85546875" style="73" customWidth="1"/>
    <col min="13268" max="13268" width="53.7109375" style="73" customWidth="1"/>
    <col min="13269" max="13269" width="47.85546875" style="73" customWidth="1"/>
    <col min="13270" max="13270" width="9.28515625" style="73" customWidth="1"/>
    <col min="13271" max="13271" width="10.5703125" style="73" customWidth="1"/>
    <col min="13272" max="13272" width="9.28515625" style="73" customWidth="1"/>
    <col min="13273" max="13273" width="11.140625" style="73" customWidth="1"/>
    <col min="13274" max="13274" width="10.5703125" style="73" customWidth="1"/>
    <col min="13275" max="13275" width="9.28515625" style="73" customWidth="1"/>
    <col min="13276" max="13276" width="11.28515625" style="73" customWidth="1"/>
    <col min="13277" max="13277" width="7.5703125" style="73" customWidth="1"/>
    <col min="13278" max="13278" width="11.140625" style="73" customWidth="1"/>
    <col min="13279" max="13279" width="11.85546875" style="73" customWidth="1"/>
    <col min="13280" max="13281" width="9.28515625" style="73" customWidth="1"/>
    <col min="13282" max="13282" width="12.5703125" style="73" customWidth="1"/>
    <col min="13283" max="13283" width="9.28515625" style="73" customWidth="1"/>
    <col min="13284" max="13284" width="9.28515625" style="73" bestFit="1" customWidth="1"/>
    <col min="13285" max="13285" width="11.28515625" style="73" bestFit="1" customWidth="1"/>
    <col min="13286" max="13286" width="9.28515625" style="73" bestFit="1" customWidth="1"/>
    <col min="13287" max="13287" width="10.85546875" style="73" customWidth="1"/>
    <col min="13288" max="13288" width="9.28515625" style="73" customWidth="1"/>
    <col min="13289" max="13289" width="10" style="73" customWidth="1"/>
    <col min="13290" max="13290" width="10.85546875" style="73" customWidth="1"/>
    <col min="13291" max="13291" width="9.42578125" style="73" customWidth="1"/>
    <col min="13292" max="13292" width="10" style="73" customWidth="1"/>
    <col min="13293" max="13293" width="9.42578125" style="73" bestFit="1" customWidth="1"/>
    <col min="13294" max="13294" width="10.28515625" style="73" bestFit="1" customWidth="1"/>
    <col min="13295" max="13295" width="9.42578125" style="73" customWidth="1"/>
    <col min="13296" max="13296" width="10" style="73" customWidth="1"/>
    <col min="13297" max="13297" width="9.42578125" style="73" bestFit="1" customWidth="1"/>
    <col min="13298" max="13298" width="11" style="73" customWidth="1"/>
    <col min="13299" max="13299" width="9.28515625" style="73" bestFit="1" customWidth="1"/>
    <col min="13300" max="13300" width="9.140625" style="73"/>
    <col min="13301" max="13301" width="9.42578125" style="73" bestFit="1" customWidth="1"/>
    <col min="13302" max="13302" width="9.140625" style="73"/>
    <col min="13303" max="13303" width="9.42578125" style="73" bestFit="1" customWidth="1"/>
    <col min="13304" max="13304" width="9.140625" style="73"/>
    <col min="13305" max="13306" width="9.42578125" style="73" bestFit="1" customWidth="1"/>
    <col min="13307" max="13307" width="9.140625" style="73"/>
    <col min="13308" max="13308" width="9.28515625" style="73" bestFit="1" customWidth="1"/>
    <col min="13309" max="13309" width="9.140625" style="73"/>
    <col min="13310" max="13311" width="9.42578125" style="73" bestFit="1" customWidth="1"/>
    <col min="13312" max="13511" width="9.140625" style="73"/>
    <col min="13512" max="13512" width="8.7109375" style="73" customWidth="1"/>
    <col min="13513" max="13513" width="8.85546875" style="73" bestFit="1" customWidth="1"/>
    <col min="13514" max="13514" width="12.42578125" style="73" customWidth="1"/>
    <col min="13515" max="13515" width="13.7109375" style="73" customWidth="1"/>
    <col min="13516" max="13516" width="15.85546875" style="73" customWidth="1"/>
    <col min="13517" max="13517" width="14.85546875" style="73" customWidth="1"/>
    <col min="13518" max="13518" width="17.140625" style="73" customWidth="1"/>
    <col min="13519" max="13519" width="11.7109375" style="73" customWidth="1"/>
    <col min="13520" max="13520" width="11.28515625" style="73" customWidth="1"/>
    <col min="13521" max="13521" width="7.5703125" style="73" customWidth="1"/>
    <col min="13522" max="13522" width="8.7109375" style="73" customWidth="1"/>
    <col min="13523" max="13523" width="10.85546875" style="73" customWidth="1"/>
    <col min="13524" max="13524" width="53.7109375" style="73" customWidth="1"/>
    <col min="13525" max="13525" width="47.85546875" style="73" customWidth="1"/>
    <col min="13526" max="13526" width="9.28515625" style="73" customWidth="1"/>
    <col min="13527" max="13527" width="10.5703125" style="73" customWidth="1"/>
    <col min="13528" max="13528" width="9.28515625" style="73" customWidth="1"/>
    <col min="13529" max="13529" width="11.140625" style="73" customWidth="1"/>
    <col min="13530" max="13530" width="10.5703125" style="73" customWidth="1"/>
    <col min="13531" max="13531" width="9.28515625" style="73" customWidth="1"/>
    <col min="13532" max="13532" width="11.28515625" style="73" customWidth="1"/>
    <col min="13533" max="13533" width="7.5703125" style="73" customWidth="1"/>
    <col min="13534" max="13534" width="11.140625" style="73" customWidth="1"/>
    <col min="13535" max="13535" width="11.85546875" style="73" customWidth="1"/>
    <col min="13536" max="13537" width="9.28515625" style="73" customWidth="1"/>
    <col min="13538" max="13538" width="12.5703125" style="73" customWidth="1"/>
    <col min="13539" max="13539" width="9.28515625" style="73" customWidth="1"/>
    <col min="13540" max="13540" width="9.28515625" style="73" bestFit="1" customWidth="1"/>
    <col min="13541" max="13541" width="11.28515625" style="73" bestFit="1" customWidth="1"/>
    <col min="13542" max="13542" width="9.28515625" style="73" bestFit="1" customWidth="1"/>
    <col min="13543" max="13543" width="10.85546875" style="73" customWidth="1"/>
    <col min="13544" max="13544" width="9.28515625" style="73" customWidth="1"/>
    <col min="13545" max="13545" width="10" style="73" customWidth="1"/>
    <col min="13546" max="13546" width="10.85546875" style="73" customWidth="1"/>
    <col min="13547" max="13547" width="9.42578125" style="73" customWidth="1"/>
    <col min="13548" max="13548" width="10" style="73" customWidth="1"/>
    <col min="13549" max="13549" width="9.42578125" style="73" bestFit="1" customWidth="1"/>
    <col min="13550" max="13550" width="10.28515625" style="73" bestFit="1" customWidth="1"/>
    <col min="13551" max="13551" width="9.42578125" style="73" customWidth="1"/>
    <col min="13552" max="13552" width="10" style="73" customWidth="1"/>
    <col min="13553" max="13553" width="9.42578125" style="73" bestFit="1" customWidth="1"/>
    <col min="13554" max="13554" width="11" style="73" customWidth="1"/>
    <col min="13555" max="13555" width="9.28515625" style="73" bestFit="1" customWidth="1"/>
    <col min="13556" max="13556" width="9.140625" style="73"/>
    <col min="13557" max="13557" width="9.42578125" style="73" bestFit="1" customWidth="1"/>
    <col min="13558" max="13558" width="9.140625" style="73"/>
    <col min="13559" max="13559" width="9.42578125" style="73" bestFit="1" customWidth="1"/>
    <col min="13560" max="13560" width="9.140625" style="73"/>
    <col min="13561" max="13562" width="9.42578125" style="73" bestFit="1" customWidth="1"/>
    <col min="13563" max="13563" width="9.140625" style="73"/>
    <col min="13564" max="13564" width="9.28515625" style="73" bestFit="1" customWidth="1"/>
    <col min="13565" max="13565" width="9.140625" style="73"/>
    <col min="13566" max="13567" width="9.42578125" style="73" bestFit="1" customWidth="1"/>
    <col min="13568" max="13767" width="9.140625" style="73"/>
    <col min="13768" max="13768" width="8.7109375" style="73" customWidth="1"/>
    <col min="13769" max="13769" width="8.85546875" style="73" bestFit="1" customWidth="1"/>
    <col min="13770" max="13770" width="12.42578125" style="73" customWidth="1"/>
    <col min="13771" max="13771" width="13.7109375" style="73" customWidth="1"/>
    <col min="13772" max="13772" width="15.85546875" style="73" customWidth="1"/>
    <col min="13773" max="13773" width="14.85546875" style="73" customWidth="1"/>
    <col min="13774" max="13774" width="17.140625" style="73" customWidth="1"/>
    <col min="13775" max="13775" width="11.7109375" style="73" customWidth="1"/>
    <col min="13776" max="13776" width="11.28515625" style="73" customWidth="1"/>
    <col min="13777" max="13777" width="7.5703125" style="73" customWidth="1"/>
    <col min="13778" max="13778" width="8.7109375" style="73" customWidth="1"/>
    <col min="13779" max="13779" width="10.85546875" style="73" customWidth="1"/>
    <col min="13780" max="13780" width="53.7109375" style="73" customWidth="1"/>
    <col min="13781" max="13781" width="47.85546875" style="73" customWidth="1"/>
    <col min="13782" max="13782" width="9.28515625" style="73" customWidth="1"/>
    <col min="13783" max="13783" width="10.5703125" style="73" customWidth="1"/>
    <col min="13784" max="13784" width="9.28515625" style="73" customWidth="1"/>
    <col min="13785" max="13785" width="11.140625" style="73" customWidth="1"/>
    <col min="13786" max="13786" width="10.5703125" style="73" customWidth="1"/>
    <col min="13787" max="13787" width="9.28515625" style="73" customWidth="1"/>
    <col min="13788" max="13788" width="11.28515625" style="73" customWidth="1"/>
    <col min="13789" max="13789" width="7.5703125" style="73" customWidth="1"/>
    <col min="13790" max="13790" width="11.140625" style="73" customWidth="1"/>
    <col min="13791" max="13791" width="11.85546875" style="73" customWidth="1"/>
    <col min="13792" max="13793" width="9.28515625" style="73" customWidth="1"/>
    <col min="13794" max="13794" width="12.5703125" style="73" customWidth="1"/>
    <col min="13795" max="13795" width="9.28515625" style="73" customWidth="1"/>
    <col min="13796" max="13796" width="9.28515625" style="73" bestFit="1" customWidth="1"/>
    <col min="13797" max="13797" width="11.28515625" style="73" bestFit="1" customWidth="1"/>
    <col min="13798" max="13798" width="9.28515625" style="73" bestFit="1" customWidth="1"/>
    <col min="13799" max="13799" width="10.85546875" style="73" customWidth="1"/>
    <col min="13800" max="13800" width="9.28515625" style="73" customWidth="1"/>
    <col min="13801" max="13801" width="10" style="73" customWidth="1"/>
    <col min="13802" max="13802" width="10.85546875" style="73" customWidth="1"/>
    <col min="13803" max="13803" width="9.42578125" style="73" customWidth="1"/>
    <col min="13804" max="13804" width="10" style="73" customWidth="1"/>
    <col min="13805" max="13805" width="9.42578125" style="73" bestFit="1" customWidth="1"/>
    <col min="13806" max="13806" width="10.28515625" style="73" bestFit="1" customWidth="1"/>
    <col min="13807" max="13807" width="9.42578125" style="73" customWidth="1"/>
    <col min="13808" max="13808" width="10" style="73" customWidth="1"/>
    <col min="13809" max="13809" width="9.42578125" style="73" bestFit="1" customWidth="1"/>
    <col min="13810" max="13810" width="11" style="73" customWidth="1"/>
    <col min="13811" max="13811" width="9.28515625" style="73" bestFit="1" customWidth="1"/>
    <col min="13812" max="13812" width="9.140625" style="73"/>
    <col min="13813" max="13813" width="9.42578125" style="73" bestFit="1" customWidth="1"/>
    <col min="13814" max="13814" width="9.140625" style="73"/>
    <col min="13815" max="13815" width="9.42578125" style="73" bestFit="1" customWidth="1"/>
    <col min="13816" max="13816" width="9.140625" style="73"/>
    <col min="13817" max="13818" width="9.42578125" style="73" bestFit="1" customWidth="1"/>
    <col min="13819" max="13819" width="9.140625" style="73"/>
    <col min="13820" max="13820" width="9.28515625" style="73" bestFit="1" customWidth="1"/>
    <col min="13821" max="13821" width="9.140625" style="73"/>
    <col min="13822" max="13823" width="9.42578125" style="73" bestFit="1" customWidth="1"/>
    <col min="13824" max="14023" width="9.140625" style="73"/>
    <col min="14024" max="14024" width="8.7109375" style="73" customWidth="1"/>
    <col min="14025" max="14025" width="8.85546875" style="73" bestFit="1" customWidth="1"/>
    <col min="14026" max="14026" width="12.42578125" style="73" customWidth="1"/>
    <col min="14027" max="14027" width="13.7109375" style="73" customWidth="1"/>
    <col min="14028" max="14028" width="15.85546875" style="73" customWidth="1"/>
    <col min="14029" max="14029" width="14.85546875" style="73" customWidth="1"/>
    <col min="14030" max="14030" width="17.140625" style="73" customWidth="1"/>
    <col min="14031" max="14031" width="11.7109375" style="73" customWidth="1"/>
    <col min="14032" max="14032" width="11.28515625" style="73" customWidth="1"/>
    <col min="14033" max="14033" width="7.5703125" style="73" customWidth="1"/>
    <col min="14034" max="14034" width="8.7109375" style="73" customWidth="1"/>
    <col min="14035" max="14035" width="10.85546875" style="73" customWidth="1"/>
    <col min="14036" max="14036" width="53.7109375" style="73" customWidth="1"/>
    <col min="14037" max="14037" width="47.85546875" style="73" customWidth="1"/>
    <col min="14038" max="14038" width="9.28515625" style="73" customWidth="1"/>
    <col min="14039" max="14039" width="10.5703125" style="73" customWidth="1"/>
    <col min="14040" max="14040" width="9.28515625" style="73" customWidth="1"/>
    <col min="14041" max="14041" width="11.140625" style="73" customWidth="1"/>
    <col min="14042" max="14042" width="10.5703125" style="73" customWidth="1"/>
    <col min="14043" max="14043" width="9.28515625" style="73" customWidth="1"/>
    <col min="14044" max="14044" width="11.28515625" style="73" customWidth="1"/>
    <col min="14045" max="14045" width="7.5703125" style="73" customWidth="1"/>
    <col min="14046" max="14046" width="11.140625" style="73" customWidth="1"/>
    <col min="14047" max="14047" width="11.85546875" style="73" customWidth="1"/>
    <col min="14048" max="14049" width="9.28515625" style="73" customWidth="1"/>
    <col min="14050" max="14050" width="12.5703125" style="73" customWidth="1"/>
    <col min="14051" max="14051" width="9.28515625" style="73" customWidth="1"/>
    <col min="14052" max="14052" width="9.28515625" style="73" bestFit="1" customWidth="1"/>
    <col min="14053" max="14053" width="11.28515625" style="73" bestFit="1" customWidth="1"/>
    <col min="14054" max="14054" width="9.28515625" style="73" bestFit="1" customWidth="1"/>
    <col min="14055" max="14055" width="10.85546875" style="73" customWidth="1"/>
    <col min="14056" max="14056" width="9.28515625" style="73" customWidth="1"/>
    <col min="14057" max="14057" width="10" style="73" customWidth="1"/>
    <col min="14058" max="14058" width="10.85546875" style="73" customWidth="1"/>
    <col min="14059" max="14059" width="9.42578125" style="73" customWidth="1"/>
    <col min="14060" max="14060" width="10" style="73" customWidth="1"/>
    <col min="14061" max="14061" width="9.42578125" style="73" bestFit="1" customWidth="1"/>
    <col min="14062" max="14062" width="10.28515625" style="73" bestFit="1" customWidth="1"/>
    <col min="14063" max="14063" width="9.42578125" style="73" customWidth="1"/>
    <col min="14064" max="14064" width="10" style="73" customWidth="1"/>
    <col min="14065" max="14065" width="9.42578125" style="73" bestFit="1" customWidth="1"/>
    <col min="14066" max="14066" width="11" style="73" customWidth="1"/>
    <col min="14067" max="14067" width="9.28515625" style="73" bestFit="1" customWidth="1"/>
    <col min="14068" max="14068" width="9.140625" style="73"/>
    <col min="14069" max="14069" width="9.42578125" style="73" bestFit="1" customWidth="1"/>
    <col min="14070" max="14070" width="9.140625" style="73"/>
    <col min="14071" max="14071" width="9.42578125" style="73" bestFit="1" customWidth="1"/>
    <col min="14072" max="14072" width="9.140625" style="73"/>
    <col min="14073" max="14074" width="9.42578125" style="73" bestFit="1" customWidth="1"/>
    <col min="14075" max="14075" width="9.140625" style="73"/>
    <col min="14076" max="14076" width="9.28515625" style="73" bestFit="1" customWidth="1"/>
    <col min="14077" max="14077" width="9.140625" style="73"/>
    <col min="14078" max="14079" width="9.42578125" style="73" bestFit="1" customWidth="1"/>
    <col min="14080" max="14279" width="9.140625" style="73"/>
    <col min="14280" max="14280" width="8.7109375" style="73" customWidth="1"/>
    <col min="14281" max="14281" width="8.85546875" style="73" bestFit="1" customWidth="1"/>
    <col min="14282" max="14282" width="12.42578125" style="73" customWidth="1"/>
    <col min="14283" max="14283" width="13.7109375" style="73" customWidth="1"/>
    <col min="14284" max="14284" width="15.85546875" style="73" customWidth="1"/>
    <col min="14285" max="14285" width="14.85546875" style="73" customWidth="1"/>
    <col min="14286" max="14286" width="17.140625" style="73" customWidth="1"/>
    <col min="14287" max="14287" width="11.7109375" style="73" customWidth="1"/>
    <col min="14288" max="14288" width="11.28515625" style="73" customWidth="1"/>
    <col min="14289" max="14289" width="7.5703125" style="73" customWidth="1"/>
    <col min="14290" max="14290" width="8.7109375" style="73" customWidth="1"/>
    <col min="14291" max="14291" width="10.85546875" style="73" customWidth="1"/>
    <col min="14292" max="14292" width="53.7109375" style="73" customWidth="1"/>
    <col min="14293" max="14293" width="47.85546875" style="73" customWidth="1"/>
    <col min="14294" max="14294" width="9.28515625" style="73" customWidth="1"/>
    <col min="14295" max="14295" width="10.5703125" style="73" customWidth="1"/>
    <col min="14296" max="14296" width="9.28515625" style="73" customWidth="1"/>
    <col min="14297" max="14297" width="11.140625" style="73" customWidth="1"/>
    <col min="14298" max="14298" width="10.5703125" style="73" customWidth="1"/>
    <col min="14299" max="14299" width="9.28515625" style="73" customWidth="1"/>
    <col min="14300" max="14300" width="11.28515625" style="73" customWidth="1"/>
    <col min="14301" max="14301" width="7.5703125" style="73" customWidth="1"/>
    <col min="14302" max="14302" width="11.140625" style="73" customWidth="1"/>
    <col min="14303" max="14303" width="11.85546875" style="73" customWidth="1"/>
    <col min="14304" max="14305" width="9.28515625" style="73" customWidth="1"/>
    <col min="14306" max="14306" width="12.5703125" style="73" customWidth="1"/>
    <col min="14307" max="14307" width="9.28515625" style="73" customWidth="1"/>
    <col min="14308" max="14308" width="9.28515625" style="73" bestFit="1" customWidth="1"/>
    <col min="14309" max="14309" width="11.28515625" style="73" bestFit="1" customWidth="1"/>
    <col min="14310" max="14310" width="9.28515625" style="73" bestFit="1" customWidth="1"/>
    <col min="14311" max="14311" width="10.85546875" style="73" customWidth="1"/>
    <col min="14312" max="14312" width="9.28515625" style="73" customWidth="1"/>
    <col min="14313" max="14313" width="10" style="73" customWidth="1"/>
    <col min="14314" max="14314" width="10.85546875" style="73" customWidth="1"/>
    <col min="14315" max="14315" width="9.42578125" style="73" customWidth="1"/>
    <col min="14316" max="14316" width="10" style="73" customWidth="1"/>
    <col min="14317" max="14317" width="9.42578125" style="73" bestFit="1" customWidth="1"/>
    <col min="14318" max="14318" width="10.28515625" style="73" bestFit="1" customWidth="1"/>
    <col min="14319" max="14319" width="9.42578125" style="73" customWidth="1"/>
    <col min="14320" max="14320" width="10" style="73" customWidth="1"/>
    <col min="14321" max="14321" width="9.42578125" style="73" bestFit="1" customWidth="1"/>
    <col min="14322" max="14322" width="11" style="73" customWidth="1"/>
    <col min="14323" max="14323" width="9.28515625" style="73" bestFit="1" customWidth="1"/>
    <col min="14324" max="14324" width="9.140625" style="73"/>
    <col min="14325" max="14325" width="9.42578125" style="73" bestFit="1" customWidth="1"/>
    <col min="14326" max="14326" width="9.140625" style="73"/>
    <col min="14327" max="14327" width="9.42578125" style="73" bestFit="1" customWidth="1"/>
    <col min="14328" max="14328" width="9.140625" style="73"/>
    <col min="14329" max="14330" width="9.42578125" style="73" bestFit="1" customWidth="1"/>
    <col min="14331" max="14331" width="9.140625" style="73"/>
    <col min="14332" max="14332" width="9.28515625" style="73" bestFit="1" customWidth="1"/>
    <col min="14333" max="14333" width="9.140625" style="73"/>
    <col min="14334" max="14335" width="9.42578125" style="73" bestFit="1" customWidth="1"/>
    <col min="14336" max="14535" width="9.140625" style="73"/>
    <col min="14536" max="14536" width="8.7109375" style="73" customWidth="1"/>
    <col min="14537" max="14537" width="8.85546875" style="73" bestFit="1" customWidth="1"/>
    <col min="14538" max="14538" width="12.42578125" style="73" customWidth="1"/>
    <col min="14539" max="14539" width="13.7109375" style="73" customWidth="1"/>
    <col min="14540" max="14540" width="15.85546875" style="73" customWidth="1"/>
    <col min="14541" max="14541" width="14.85546875" style="73" customWidth="1"/>
    <col min="14542" max="14542" width="17.140625" style="73" customWidth="1"/>
    <col min="14543" max="14543" width="11.7109375" style="73" customWidth="1"/>
    <col min="14544" max="14544" width="11.28515625" style="73" customWidth="1"/>
    <col min="14545" max="14545" width="7.5703125" style="73" customWidth="1"/>
    <col min="14546" max="14546" width="8.7109375" style="73" customWidth="1"/>
    <col min="14547" max="14547" width="10.85546875" style="73" customWidth="1"/>
    <col min="14548" max="14548" width="53.7109375" style="73" customWidth="1"/>
    <col min="14549" max="14549" width="47.85546875" style="73" customWidth="1"/>
    <col min="14550" max="14550" width="9.28515625" style="73" customWidth="1"/>
    <col min="14551" max="14551" width="10.5703125" style="73" customWidth="1"/>
    <col min="14552" max="14552" width="9.28515625" style="73" customWidth="1"/>
    <col min="14553" max="14553" width="11.140625" style="73" customWidth="1"/>
    <col min="14554" max="14554" width="10.5703125" style="73" customWidth="1"/>
    <col min="14555" max="14555" width="9.28515625" style="73" customWidth="1"/>
    <col min="14556" max="14556" width="11.28515625" style="73" customWidth="1"/>
    <col min="14557" max="14557" width="7.5703125" style="73" customWidth="1"/>
    <col min="14558" max="14558" width="11.140625" style="73" customWidth="1"/>
    <col min="14559" max="14559" width="11.85546875" style="73" customWidth="1"/>
    <col min="14560" max="14561" width="9.28515625" style="73" customWidth="1"/>
    <col min="14562" max="14562" width="12.5703125" style="73" customWidth="1"/>
    <col min="14563" max="14563" width="9.28515625" style="73" customWidth="1"/>
    <col min="14564" max="14564" width="9.28515625" style="73" bestFit="1" customWidth="1"/>
    <col min="14565" max="14565" width="11.28515625" style="73" bestFit="1" customWidth="1"/>
    <col min="14566" max="14566" width="9.28515625" style="73" bestFit="1" customWidth="1"/>
    <col min="14567" max="14567" width="10.85546875" style="73" customWidth="1"/>
    <col min="14568" max="14568" width="9.28515625" style="73" customWidth="1"/>
    <col min="14569" max="14569" width="10" style="73" customWidth="1"/>
    <col min="14570" max="14570" width="10.85546875" style="73" customWidth="1"/>
    <col min="14571" max="14571" width="9.42578125" style="73" customWidth="1"/>
    <col min="14572" max="14572" width="10" style="73" customWidth="1"/>
    <col min="14573" max="14573" width="9.42578125" style="73" bestFit="1" customWidth="1"/>
    <col min="14574" max="14574" width="10.28515625" style="73" bestFit="1" customWidth="1"/>
    <col min="14575" max="14575" width="9.42578125" style="73" customWidth="1"/>
    <col min="14576" max="14576" width="10" style="73" customWidth="1"/>
    <col min="14577" max="14577" width="9.42578125" style="73" bestFit="1" customWidth="1"/>
    <col min="14578" max="14578" width="11" style="73" customWidth="1"/>
    <col min="14579" max="14579" width="9.28515625" style="73" bestFit="1" customWidth="1"/>
    <col min="14580" max="14580" width="9.140625" style="73"/>
    <col min="14581" max="14581" width="9.42578125" style="73" bestFit="1" customWidth="1"/>
    <col min="14582" max="14582" width="9.140625" style="73"/>
    <col min="14583" max="14583" width="9.42578125" style="73" bestFit="1" customWidth="1"/>
    <col min="14584" max="14584" width="9.140625" style="73"/>
    <col min="14585" max="14586" width="9.42578125" style="73" bestFit="1" customWidth="1"/>
    <col min="14587" max="14587" width="9.140625" style="73"/>
    <col min="14588" max="14588" width="9.28515625" style="73" bestFit="1" customWidth="1"/>
    <col min="14589" max="14589" width="9.140625" style="73"/>
    <col min="14590" max="14591" width="9.42578125" style="73" bestFit="1" customWidth="1"/>
    <col min="14592" max="14791" width="9.140625" style="73"/>
    <col min="14792" max="14792" width="8.7109375" style="73" customWidth="1"/>
    <col min="14793" max="14793" width="8.85546875" style="73" bestFit="1" customWidth="1"/>
    <col min="14794" max="14794" width="12.42578125" style="73" customWidth="1"/>
    <col min="14795" max="14795" width="13.7109375" style="73" customWidth="1"/>
    <col min="14796" max="14796" width="15.85546875" style="73" customWidth="1"/>
    <col min="14797" max="14797" width="14.85546875" style="73" customWidth="1"/>
    <col min="14798" max="14798" width="17.140625" style="73" customWidth="1"/>
    <col min="14799" max="14799" width="11.7109375" style="73" customWidth="1"/>
    <col min="14800" max="14800" width="11.28515625" style="73" customWidth="1"/>
    <col min="14801" max="14801" width="7.5703125" style="73" customWidth="1"/>
    <col min="14802" max="14802" width="8.7109375" style="73" customWidth="1"/>
    <col min="14803" max="14803" width="10.85546875" style="73" customWidth="1"/>
    <col min="14804" max="14804" width="53.7109375" style="73" customWidth="1"/>
    <col min="14805" max="14805" width="47.85546875" style="73" customWidth="1"/>
    <col min="14806" max="14806" width="9.28515625" style="73" customWidth="1"/>
    <col min="14807" max="14807" width="10.5703125" style="73" customWidth="1"/>
    <col min="14808" max="14808" width="9.28515625" style="73" customWidth="1"/>
    <col min="14809" max="14809" width="11.140625" style="73" customWidth="1"/>
    <col min="14810" max="14810" width="10.5703125" style="73" customWidth="1"/>
    <col min="14811" max="14811" width="9.28515625" style="73" customWidth="1"/>
    <col min="14812" max="14812" width="11.28515625" style="73" customWidth="1"/>
    <col min="14813" max="14813" width="7.5703125" style="73" customWidth="1"/>
    <col min="14814" max="14814" width="11.140625" style="73" customWidth="1"/>
    <col min="14815" max="14815" width="11.85546875" style="73" customWidth="1"/>
    <col min="14816" max="14817" width="9.28515625" style="73" customWidth="1"/>
    <col min="14818" max="14818" width="12.5703125" style="73" customWidth="1"/>
    <col min="14819" max="14819" width="9.28515625" style="73" customWidth="1"/>
    <col min="14820" max="14820" width="9.28515625" style="73" bestFit="1" customWidth="1"/>
    <col min="14821" max="14821" width="11.28515625" style="73" bestFit="1" customWidth="1"/>
    <col min="14822" max="14822" width="9.28515625" style="73" bestFit="1" customWidth="1"/>
    <col min="14823" max="14823" width="10.85546875" style="73" customWidth="1"/>
    <col min="14824" max="14824" width="9.28515625" style="73" customWidth="1"/>
    <col min="14825" max="14825" width="10" style="73" customWidth="1"/>
    <col min="14826" max="14826" width="10.85546875" style="73" customWidth="1"/>
    <col min="14827" max="14827" width="9.42578125" style="73" customWidth="1"/>
    <col min="14828" max="14828" width="10" style="73" customWidth="1"/>
    <col min="14829" max="14829" width="9.42578125" style="73" bestFit="1" customWidth="1"/>
    <col min="14830" max="14830" width="10.28515625" style="73" bestFit="1" customWidth="1"/>
    <col min="14831" max="14831" width="9.42578125" style="73" customWidth="1"/>
    <col min="14832" max="14832" width="10" style="73" customWidth="1"/>
    <col min="14833" max="14833" width="9.42578125" style="73" bestFit="1" customWidth="1"/>
    <col min="14834" max="14834" width="11" style="73" customWidth="1"/>
    <col min="14835" max="14835" width="9.28515625" style="73" bestFit="1" customWidth="1"/>
    <col min="14836" max="14836" width="9.140625" style="73"/>
    <col min="14837" max="14837" width="9.42578125" style="73" bestFit="1" customWidth="1"/>
    <col min="14838" max="14838" width="9.140625" style="73"/>
    <col min="14839" max="14839" width="9.42578125" style="73" bestFit="1" customWidth="1"/>
    <col min="14840" max="14840" width="9.140625" style="73"/>
    <col min="14841" max="14842" width="9.42578125" style="73" bestFit="1" customWidth="1"/>
    <col min="14843" max="14843" width="9.140625" style="73"/>
    <col min="14844" max="14844" width="9.28515625" style="73" bestFit="1" customWidth="1"/>
    <col min="14845" max="14845" width="9.140625" style="73"/>
    <col min="14846" max="14847" width="9.42578125" style="73" bestFit="1" customWidth="1"/>
    <col min="14848" max="15047" width="9.140625" style="73"/>
    <col min="15048" max="15048" width="8.7109375" style="73" customWidth="1"/>
    <col min="15049" max="15049" width="8.85546875" style="73" bestFit="1" customWidth="1"/>
    <col min="15050" max="15050" width="12.42578125" style="73" customWidth="1"/>
    <col min="15051" max="15051" width="13.7109375" style="73" customWidth="1"/>
    <col min="15052" max="15052" width="15.85546875" style="73" customWidth="1"/>
    <col min="15053" max="15053" width="14.85546875" style="73" customWidth="1"/>
    <col min="15054" max="15054" width="17.140625" style="73" customWidth="1"/>
    <col min="15055" max="15055" width="11.7109375" style="73" customWidth="1"/>
    <col min="15056" max="15056" width="11.28515625" style="73" customWidth="1"/>
    <col min="15057" max="15057" width="7.5703125" style="73" customWidth="1"/>
    <col min="15058" max="15058" width="8.7109375" style="73" customWidth="1"/>
    <col min="15059" max="15059" width="10.85546875" style="73" customWidth="1"/>
    <col min="15060" max="15060" width="53.7109375" style="73" customWidth="1"/>
    <col min="15061" max="15061" width="47.85546875" style="73" customWidth="1"/>
    <col min="15062" max="15062" width="9.28515625" style="73" customWidth="1"/>
    <col min="15063" max="15063" width="10.5703125" style="73" customWidth="1"/>
    <col min="15064" max="15064" width="9.28515625" style="73" customWidth="1"/>
    <col min="15065" max="15065" width="11.140625" style="73" customWidth="1"/>
    <col min="15066" max="15066" width="10.5703125" style="73" customWidth="1"/>
    <col min="15067" max="15067" width="9.28515625" style="73" customWidth="1"/>
    <col min="15068" max="15068" width="11.28515625" style="73" customWidth="1"/>
    <col min="15069" max="15069" width="7.5703125" style="73" customWidth="1"/>
    <col min="15070" max="15070" width="11.140625" style="73" customWidth="1"/>
    <col min="15071" max="15071" width="11.85546875" style="73" customWidth="1"/>
    <col min="15072" max="15073" width="9.28515625" style="73" customWidth="1"/>
    <col min="15074" max="15074" width="12.5703125" style="73" customWidth="1"/>
    <col min="15075" max="15075" width="9.28515625" style="73" customWidth="1"/>
    <col min="15076" max="15076" width="9.28515625" style="73" bestFit="1" customWidth="1"/>
    <col min="15077" max="15077" width="11.28515625" style="73" bestFit="1" customWidth="1"/>
    <col min="15078" max="15078" width="9.28515625" style="73" bestFit="1" customWidth="1"/>
    <col min="15079" max="15079" width="10.85546875" style="73" customWidth="1"/>
    <col min="15080" max="15080" width="9.28515625" style="73" customWidth="1"/>
    <col min="15081" max="15081" width="10" style="73" customWidth="1"/>
    <col min="15082" max="15082" width="10.85546875" style="73" customWidth="1"/>
    <col min="15083" max="15083" width="9.42578125" style="73" customWidth="1"/>
    <col min="15084" max="15084" width="10" style="73" customWidth="1"/>
    <col min="15085" max="15085" width="9.42578125" style="73" bestFit="1" customWidth="1"/>
    <col min="15086" max="15086" width="10.28515625" style="73" bestFit="1" customWidth="1"/>
    <col min="15087" max="15087" width="9.42578125" style="73" customWidth="1"/>
    <col min="15088" max="15088" width="10" style="73" customWidth="1"/>
    <col min="15089" max="15089" width="9.42578125" style="73" bestFit="1" customWidth="1"/>
    <col min="15090" max="15090" width="11" style="73" customWidth="1"/>
    <col min="15091" max="15091" width="9.28515625" style="73" bestFit="1" customWidth="1"/>
    <col min="15092" max="15092" width="9.140625" style="73"/>
    <col min="15093" max="15093" width="9.42578125" style="73" bestFit="1" customWidth="1"/>
    <col min="15094" max="15094" width="9.140625" style="73"/>
    <col min="15095" max="15095" width="9.42578125" style="73" bestFit="1" customWidth="1"/>
    <col min="15096" max="15096" width="9.140625" style="73"/>
    <col min="15097" max="15098" width="9.42578125" style="73" bestFit="1" customWidth="1"/>
    <col min="15099" max="15099" width="9.140625" style="73"/>
    <col min="15100" max="15100" width="9.28515625" style="73" bestFit="1" customWidth="1"/>
    <col min="15101" max="15101" width="9.140625" style="73"/>
    <col min="15102" max="15103" width="9.42578125" style="73" bestFit="1" customWidth="1"/>
    <col min="15104" max="15303" width="9.140625" style="73"/>
    <col min="15304" max="15304" width="8.7109375" style="73" customWidth="1"/>
    <col min="15305" max="15305" width="8.85546875" style="73" bestFit="1" customWidth="1"/>
    <col min="15306" max="15306" width="12.42578125" style="73" customWidth="1"/>
    <col min="15307" max="15307" width="13.7109375" style="73" customWidth="1"/>
    <col min="15308" max="15308" width="15.85546875" style="73" customWidth="1"/>
    <col min="15309" max="15309" width="14.85546875" style="73" customWidth="1"/>
    <col min="15310" max="15310" width="17.140625" style="73" customWidth="1"/>
    <col min="15311" max="15311" width="11.7109375" style="73" customWidth="1"/>
    <col min="15312" max="15312" width="11.28515625" style="73" customWidth="1"/>
    <col min="15313" max="15313" width="7.5703125" style="73" customWidth="1"/>
    <col min="15314" max="15314" width="8.7109375" style="73" customWidth="1"/>
    <col min="15315" max="15315" width="10.85546875" style="73" customWidth="1"/>
    <col min="15316" max="15316" width="53.7109375" style="73" customWidth="1"/>
    <col min="15317" max="15317" width="47.85546875" style="73" customWidth="1"/>
    <col min="15318" max="15318" width="9.28515625" style="73" customWidth="1"/>
    <col min="15319" max="15319" width="10.5703125" style="73" customWidth="1"/>
    <col min="15320" max="15320" width="9.28515625" style="73" customWidth="1"/>
    <col min="15321" max="15321" width="11.140625" style="73" customWidth="1"/>
    <col min="15322" max="15322" width="10.5703125" style="73" customWidth="1"/>
    <col min="15323" max="15323" width="9.28515625" style="73" customWidth="1"/>
    <col min="15324" max="15324" width="11.28515625" style="73" customWidth="1"/>
    <col min="15325" max="15325" width="7.5703125" style="73" customWidth="1"/>
    <col min="15326" max="15326" width="11.140625" style="73" customWidth="1"/>
    <col min="15327" max="15327" width="11.85546875" style="73" customWidth="1"/>
    <col min="15328" max="15329" width="9.28515625" style="73" customWidth="1"/>
    <col min="15330" max="15330" width="12.5703125" style="73" customWidth="1"/>
    <col min="15331" max="15331" width="9.28515625" style="73" customWidth="1"/>
    <col min="15332" max="15332" width="9.28515625" style="73" bestFit="1" customWidth="1"/>
    <col min="15333" max="15333" width="11.28515625" style="73" bestFit="1" customWidth="1"/>
    <col min="15334" max="15334" width="9.28515625" style="73" bestFit="1" customWidth="1"/>
    <col min="15335" max="15335" width="10.85546875" style="73" customWidth="1"/>
    <col min="15336" max="15336" width="9.28515625" style="73" customWidth="1"/>
    <col min="15337" max="15337" width="10" style="73" customWidth="1"/>
    <col min="15338" max="15338" width="10.85546875" style="73" customWidth="1"/>
    <col min="15339" max="15339" width="9.42578125" style="73" customWidth="1"/>
    <col min="15340" max="15340" width="10" style="73" customWidth="1"/>
    <col min="15341" max="15341" width="9.42578125" style="73" bestFit="1" customWidth="1"/>
    <col min="15342" max="15342" width="10.28515625" style="73" bestFit="1" customWidth="1"/>
    <col min="15343" max="15343" width="9.42578125" style="73" customWidth="1"/>
    <col min="15344" max="15344" width="10" style="73" customWidth="1"/>
    <col min="15345" max="15345" width="9.42578125" style="73" bestFit="1" customWidth="1"/>
    <col min="15346" max="15346" width="11" style="73" customWidth="1"/>
    <col min="15347" max="15347" width="9.28515625" style="73" bestFit="1" customWidth="1"/>
    <col min="15348" max="15348" width="9.140625" style="73"/>
    <col min="15349" max="15349" width="9.42578125" style="73" bestFit="1" customWidth="1"/>
    <col min="15350" max="15350" width="9.140625" style="73"/>
    <col min="15351" max="15351" width="9.42578125" style="73" bestFit="1" customWidth="1"/>
    <col min="15352" max="15352" width="9.140625" style="73"/>
    <col min="15353" max="15354" width="9.42578125" style="73" bestFit="1" customWidth="1"/>
    <col min="15355" max="15355" width="9.140625" style="73"/>
    <col min="15356" max="15356" width="9.28515625" style="73" bestFit="1" customWidth="1"/>
    <col min="15357" max="15357" width="9.140625" style="73"/>
    <col min="15358" max="15359" width="9.42578125" style="73" bestFit="1" customWidth="1"/>
    <col min="15360" max="15559" width="9.140625" style="73"/>
    <col min="15560" max="15560" width="8.7109375" style="73" customWidth="1"/>
    <col min="15561" max="15561" width="8.85546875" style="73" bestFit="1" customWidth="1"/>
    <col min="15562" max="15562" width="12.42578125" style="73" customWidth="1"/>
    <col min="15563" max="15563" width="13.7109375" style="73" customWidth="1"/>
    <col min="15564" max="15564" width="15.85546875" style="73" customWidth="1"/>
    <col min="15565" max="15565" width="14.85546875" style="73" customWidth="1"/>
    <col min="15566" max="15566" width="17.140625" style="73" customWidth="1"/>
    <col min="15567" max="15567" width="11.7109375" style="73" customWidth="1"/>
    <col min="15568" max="15568" width="11.28515625" style="73" customWidth="1"/>
    <col min="15569" max="15569" width="7.5703125" style="73" customWidth="1"/>
    <col min="15570" max="15570" width="8.7109375" style="73" customWidth="1"/>
    <col min="15571" max="15571" width="10.85546875" style="73" customWidth="1"/>
    <col min="15572" max="15572" width="53.7109375" style="73" customWidth="1"/>
    <col min="15573" max="15573" width="47.85546875" style="73" customWidth="1"/>
    <col min="15574" max="15574" width="9.28515625" style="73" customWidth="1"/>
    <col min="15575" max="15575" width="10.5703125" style="73" customWidth="1"/>
    <col min="15576" max="15576" width="9.28515625" style="73" customWidth="1"/>
    <col min="15577" max="15577" width="11.140625" style="73" customWidth="1"/>
    <col min="15578" max="15578" width="10.5703125" style="73" customWidth="1"/>
    <col min="15579" max="15579" width="9.28515625" style="73" customWidth="1"/>
    <col min="15580" max="15580" width="11.28515625" style="73" customWidth="1"/>
    <col min="15581" max="15581" width="7.5703125" style="73" customWidth="1"/>
    <col min="15582" max="15582" width="11.140625" style="73" customWidth="1"/>
    <col min="15583" max="15583" width="11.85546875" style="73" customWidth="1"/>
    <col min="15584" max="15585" width="9.28515625" style="73" customWidth="1"/>
    <col min="15586" max="15586" width="12.5703125" style="73" customWidth="1"/>
    <col min="15587" max="15587" width="9.28515625" style="73" customWidth="1"/>
    <col min="15588" max="15588" width="9.28515625" style="73" bestFit="1" customWidth="1"/>
    <col min="15589" max="15589" width="11.28515625" style="73" bestFit="1" customWidth="1"/>
    <col min="15590" max="15590" width="9.28515625" style="73" bestFit="1" customWidth="1"/>
    <col min="15591" max="15591" width="10.85546875" style="73" customWidth="1"/>
    <col min="15592" max="15592" width="9.28515625" style="73" customWidth="1"/>
    <col min="15593" max="15593" width="10" style="73" customWidth="1"/>
    <col min="15594" max="15594" width="10.85546875" style="73" customWidth="1"/>
    <col min="15595" max="15595" width="9.42578125" style="73" customWidth="1"/>
    <col min="15596" max="15596" width="10" style="73" customWidth="1"/>
    <col min="15597" max="15597" width="9.42578125" style="73" bestFit="1" customWidth="1"/>
    <col min="15598" max="15598" width="10.28515625" style="73" bestFit="1" customWidth="1"/>
    <col min="15599" max="15599" width="9.42578125" style="73" customWidth="1"/>
    <col min="15600" max="15600" width="10" style="73" customWidth="1"/>
    <col min="15601" max="15601" width="9.42578125" style="73" bestFit="1" customWidth="1"/>
    <col min="15602" max="15602" width="11" style="73" customWidth="1"/>
    <col min="15603" max="15603" width="9.28515625" style="73" bestFit="1" customWidth="1"/>
    <col min="15604" max="15604" width="9.140625" style="73"/>
    <col min="15605" max="15605" width="9.42578125" style="73" bestFit="1" customWidth="1"/>
    <col min="15606" max="15606" width="9.140625" style="73"/>
    <col min="15607" max="15607" width="9.42578125" style="73" bestFit="1" customWidth="1"/>
    <col min="15608" max="15608" width="9.140625" style="73"/>
    <col min="15609" max="15610" width="9.42578125" style="73" bestFit="1" customWidth="1"/>
    <col min="15611" max="15611" width="9.140625" style="73"/>
    <col min="15612" max="15612" width="9.28515625" style="73" bestFit="1" customWidth="1"/>
    <col min="15613" max="15613" width="9.140625" style="73"/>
    <col min="15614" max="15615" width="9.42578125" style="73" bestFit="1" customWidth="1"/>
    <col min="15616" max="15815" width="9.140625" style="73"/>
    <col min="15816" max="15816" width="8.7109375" style="73" customWidth="1"/>
    <col min="15817" max="15817" width="8.85546875" style="73" bestFit="1" customWidth="1"/>
    <col min="15818" max="15818" width="12.42578125" style="73" customWidth="1"/>
    <col min="15819" max="15819" width="13.7109375" style="73" customWidth="1"/>
    <col min="15820" max="15820" width="15.85546875" style="73" customWidth="1"/>
    <col min="15821" max="15821" width="14.85546875" style="73" customWidth="1"/>
    <col min="15822" max="15822" width="17.140625" style="73" customWidth="1"/>
    <col min="15823" max="15823" width="11.7109375" style="73" customWidth="1"/>
    <col min="15824" max="15824" width="11.28515625" style="73" customWidth="1"/>
    <col min="15825" max="15825" width="7.5703125" style="73" customWidth="1"/>
    <col min="15826" max="15826" width="8.7109375" style="73" customWidth="1"/>
    <col min="15827" max="15827" width="10.85546875" style="73" customWidth="1"/>
    <col min="15828" max="15828" width="53.7109375" style="73" customWidth="1"/>
    <col min="15829" max="15829" width="47.85546875" style="73" customWidth="1"/>
    <col min="15830" max="15830" width="9.28515625" style="73" customWidth="1"/>
    <col min="15831" max="15831" width="10.5703125" style="73" customWidth="1"/>
    <col min="15832" max="15832" width="9.28515625" style="73" customWidth="1"/>
    <col min="15833" max="15833" width="11.140625" style="73" customWidth="1"/>
    <col min="15834" max="15834" width="10.5703125" style="73" customWidth="1"/>
    <col min="15835" max="15835" width="9.28515625" style="73" customWidth="1"/>
    <col min="15836" max="15836" width="11.28515625" style="73" customWidth="1"/>
    <col min="15837" max="15837" width="7.5703125" style="73" customWidth="1"/>
    <col min="15838" max="15838" width="11.140625" style="73" customWidth="1"/>
    <col min="15839" max="15839" width="11.85546875" style="73" customWidth="1"/>
    <col min="15840" max="15841" width="9.28515625" style="73" customWidth="1"/>
    <col min="15842" max="15842" width="12.5703125" style="73" customWidth="1"/>
    <col min="15843" max="15843" width="9.28515625" style="73" customWidth="1"/>
    <col min="15844" max="15844" width="9.28515625" style="73" bestFit="1" customWidth="1"/>
    <col min="15845" max="15845" width="11.28515625" style="73" bestFit="1" customWidth="1"/>
    <col min="15846" max="15846" width="9.28515625" style="73" bestFit="1" customWidth="1"/>
    <col min="15847" max="15847" width="10.85546875" style="73" customWidth="1"/>
    <col min="15848" max="15848" width="9.28515625" style="73" customWidth="1"/>
    <col min="15849" max="15849" width="10" style="73" customWidth="1"/>
    <col min="15850" max="15850" width="10.85546875" style="73" customWidth="1"/>
    <col min="15851" max="15851" width="9.42578125" style="73" customWidth="1"/>
    <col min="15852" max="15852" width="10" style="73" customWidth="1"/>
    <col min="15853" max="15853" width="9.42578125" style="73" bestFit="1" customWidth="1"/>
    <col min="15854" max="15854" width="10.28515625" style="73" bestFit="1" customWidth="1"/>
    <col min="15855" max="15855" width="9.42578125" style="73" customWidth="1"/>
    <col min="15856" max="15856" width="10" style="73" customWidth="1"/>
    <col min="15857" max="15857" width="9.42578125" style="73" bestFit="1" customWidth="1"/>
    <col min="15858" max="15858" width="11" style="73" customWidth="1"/>
    <col min="15859" max="15859" width="9.28515625" style="73" bestFit="1" customWidth="1"/>
    <col min="15860" max="15860" width="9.140625" style="73"/>
    <col min="15861" max="15861" width="9.42578125" style="73" bestFit="1" customWidth="1"/>
    <col min="15862" max="15862" width="9.140625" style="73"/>
    <col min="15863" max="15863" width="9.42578125" style="73" bestFit="1" customWidth="1"/>
    <col min="15864" max="15864" width="9.140625" style="73"/>
    <col min="15865" max="15866" width="9.42578125" style="73" bestFit="1" customWidth="1"/>
    <col min="15867" max="15867" width="9.140625" style="73"/>
    <col min="15868" max="15868" width="9.28515625" style="73" bestFit="1" customWidth="1"/>
    <col min="15869" max="15869" width="9.140625" style="73"/>
    <col min="15870" max="15871" width="9.42578125" style="73" bestFit="1" customWidth="1"/>
    <col min="15872" max="16071" width="9.140625" style="73"/>
    <col min="16072" max="16072" width="8.7109375" style="73" customWidth="1"/>
    <col min="16073" max="16073" width="8.85546875" style="73" bestFit="1" customWidth="1"/>
    <col min="16074" max="16074" width="12.42578125" style="73" customWidth="1"/>
    <col min="16075" max="16075" width="13.7109375" style="73" customWidth="1"/>
    <col min="16076" max="16076" width="15.85546875" style="73" customWidth="1"/>
    <col min="16077" max="16077" width="14.85546875" style="73" customWidth="1"/>
    <col min="16078" max="16078" width="17.140625" style="73" customWidth="1"/>
    <col min="16079" max="16079" width="11.7109375" style="73" customWidth="1"/>
    <col min="16080" max="16080" width="11.28515625" style="73" customWidth="1"/>
    <col min="16081" max="16081" width="7.5703125" style="73" customWidth="1"/>
    <col min="16082" max="16082" width="8.7109375" style="73" customWidth="1"/>
    <col min="16083" max="16083" width="10.85546875" style="73" customWidth="1"/>
    <col min="16084" max="16084" width="53.7109375" style="73" customWidth="1"/>
    <col min="16085" max="16085" width="47.85546875" style="73" customWidth="1"/>
    <col min="16086" max="16086" width="9.28515625" style="73" customWidth="1"/>
    <col min="16087" max="16087" width="10.5703125" style="73" customWidth="1"/>
    <col min="16088" max="16088" width="9.28515625" style="73" customWidth="1"/>
    <col min="16089" max="16089" width="11.140625" style="73" customWidth="1"/>
    <col min="16090" max="16090" width="10.5703125" style="73" customWidth="1"/>
    <col min="16091" max="16091" width="9.28515625" style="73" customWidth="1"/>
    <col min="16092" max="16092" width="11.28515625" style="73" customWidth="1"/>
    <col min="16093" max="16093" width="7.5703125" style="73" customWidth="1"/>
    <col min="16094" max="16094" width="11.140625" style="73" customWidth="1"/>
    <col min="16095" max="16095" width="11.85546875" style="73" customWidth="1"/>
    <col min="16096" max="16097" width="9.28515625" style="73" customWidth="1"/>
    <col min="16098" max="16098" width="12.5703125" style="73" customWidth="1"/>
    <col min="16099" max="16099" width="9.28515625" style="73" customWidth="1"/>
    <col min="16100" max="16100" width="9.28515625" style="73" bestFit="1" customWidth="1"/>
    <col min="16101" max="16101" width="11.28515625" style="73" bestFit="1" customWidth="1"/>
    <col min="16102" max="16102" width="9.28515625" style="73" bestFit="1" customWidth="1"/>
    <col min="16103" max="16103" width="10.85546875" style="73" customWidth="1"/>
    <col min="16104" max="16104" width="9.28515625" style="73" customWidth="1"/>
    <col min="16105" max="16105" width="10" style="73" customWidth="1"/>
    <col min="16106" max="16106" width="10.85546875" style="73" customWidth="1"/>
    <col min="16107" max="16107" width="9.42578125" style="73" customWidth="1"/>
    <col min="16108" max="16108" width="10" style="73" customWidth="1"/>
    <col min="16109" max="16109" width="9.42578125" style="73" bestFit="1" customWidth="1"/>
    <col min="16110" max="16110" width="10.28515625" style="73" bestFit="1" customWidth="1"/>
    <col min="16111" max="16111" width="9.42578125" style="73" customWidth="1"/>
    <col min="16112" max="16112" width="10" style="73" customWidth="1"/>
    <col min="16113" max="16113" width="9.42578125" style="73" bestFit="1" customWidth="1"/>
    <col min="16114" max="16114" width="11" style="73" customWidth="1"/>
    <col min="16115" max="16115" width="9.28515625" style="73" bestFit="1" customWidth="1"/>
    <col min="16116" max="16116" width="9.140625" style="73"/>
    <col min="16117" max="16117" width="9.42578125" style="73" bestFit="1" customWidth="1"/>
    <col min="16118" max="16118" width="9.140625" style="73"/>
    <col min="16119" max="16119" width="9.42578125" style="73" bestFit="1" customWidth="1"/>
    <col min="16120" max="16120" width="9.140625" style="73"/>
    <col min="16121" max="16122" width="9.42578125" style="73" bestFit="1" customWidth="1"/>
    <col min="16123" max="16123" width="9.140625" style="73"/>
    <col min="16124" max="16124" width="9.28515625" style="73" bestFit="1" customWidth="1"/>
    <col min="16125" max="16125" width="9.140625" style="73"/>
    <col min="16126" max="16127" width="9.42578125" style="73" bestFit="1" customWidth="1"/>
    <col min="16128" max="16384" width="9.140625" style="73"/>
  </cols>
  <sheetData>
    <row r="1" spans="1:14" s="71" customFormat="1" ht="48">
      <c r="A1" s="87" t="s">
        <v>0</v>
      </c>
      <c r="B1" s="87" t="s">
        <v>1</v>
      </c>
      <c r="C1" s="87" t="s">
        <v>2</v>
      </c>
      <c r="D1" s="87" t="s">
        <v>3</v>
      </c>
      <c r="E1" s="87" t="s">
        <v>4</v>
      </c>
      <c r="F1" s="87" t="s">
        <v>5</v>
      </c>
      <c r="G1" s="87" t="s">
        <v>6</v>
      </c>
      <c r="H1" s="87" t="s">
        <v>7</v>
      </c>
      <c r="I1" s="88" t="s">
        <v>8</v>
      </c>
      <c r="J1" s="89" t="s">
        <v>9</v>
      </c>
      <c r="K1" s="89" t="s">
        <v>10</v>
      </c>
      <c r="L1" s="19" t="s">
        <v>11</v>
      </c>
      <c r="M1" s="87" t="s">
        <v>12</v>
      </c>
      <c r="N1" s="87" t="s">
        <v>13</v>
      </c>
    </row>
    <row r="2" spans="1:14" s="72" customFormat="1" ht="112.5">
      <c r="A2" s="90" t="s">
        <v>14</v>
      </c>
      <c r="B2" s="91" t="s">
        <v>15</v>
      </c>
      <c r="C2" s="91" t="s">
        <v>16</v>
      </c>
      <c r="D2" s="91" t="s">
        <v>17</v>
      </c>
      <c r="E2" s="92" t="s">
        <v>18</v>
      </c>
      <c r="F2" s="92" t="s">
        <v>19</v>
      </c>
      <c r="G2" s="92" t="s">
        <v>20</v>
      </c>
      <c r="H2" s="92" t="s">
        <v>21</v>
      </c>
      <c r="I2" s="98">
        <v>52074</v>
      </c>
      <c r="J2" s="92" t="s">
        <v>22</v>
      </c>
      <c r="K2" s="93">
        <f>I2/1/250*30</f>
        <v>6248.88</v>
      </c>
      <c r="L2" s="107" t="s">
        <v>23</v>
      </c>
      <c r="M2" s="91" t="s">
        <v>24</v>
      </c>
      <c r="N2" s="91" t="s">
        <v>25</v>
      </c>
    </row>
    <row r="3" spans="1:14" s="72" customFormat="1" ht="112.5">
      <c r="A3" s="90" t="s">
        <v>26</v>
      </c>
      <c r="B3" s="91" t="s">
        <v>15</v>
      </c>
      <c r="C3" s="91" t="s">
        <v>16</v>
      </c>
      <c r="D3" s="91" t="s">
        <v>17</v>
      </c>
      <c r="E3" s="92" t="s">
        <v>27</v>
      </c>
      <c r="F3" s="92" t="s">
        <v>28</v>
      </c>
      <c r="G3" s="92" t="s">
        <v>20</v>
      </c>
      <c r="H3" s="92" t="s">
        <v>29</v>
      </c>
      <c r="I3" s="98">
        <v>52074</v>
      </c>
      <c r="J3" s="92" t="s">
        <v>22</v>
      </c>
      <c r="K3" s="93">
        <f>I3/1/250*30</f>
        <v>6248.88</v>
      </c>
      <c r="L3" s="67" t="s">
        <v>23</v>
      </c>
      <c r="M3" s="91" t="s">
        <v>24</v>
      </c>
      <c r="N3" s="91" t="s">
        <v>25</v>
      </c>
    </row>
    <row r="4" spans="1:14" s="72" customFormat="1" ht="157.5">
      <c r="A4" s="91">
        <v>1069111</v>
      </c>
      <c r="B4" s="91" t="s">
        <v>30</v>
      </c>
      <c r="C4" s="91" t="s">
        <v>31</v>
      </c>
      <c r="D4" s="91" t="s">
        <v>32</v>
      </c>
      <c r="E4" s="92" t="s">
        <v>33</v>
      </c>
      <c r="F4" s="92" t="s">
        <v>34</v>
      </c>
      <c r="G4" s="92" t="s">
        <v>35</v>
      </c>
      <c r="H4" s="92" t="s">
        <v>36</v>
      </c>
      <c r="I4" s="98">
        <v>82999</v>
      </c>
      <c r="J4" s="92" t="s">
        <v>37</v>
      </c>
      <c r="K4" s="93">
        <f>I4/28/25*50</f>
        <v>5928.5</v>
      </c>
      <c r="L4" s="107" t="s">
        <v>23</v>
      </c>
      <c r="M4" s="91" t="s">
        <v>38</v>
      </c>
      <c r="N4" s="91" t="s">
        <v>39</v>
      </c>
    </row>
    <row r="5" spans="1:14" s="72" customFormat="1" ht="157.5">
      <c r="A5" s="90" t="s">
        <v>40</v>
      </c>
      <c r="B5" s="96" t="s">
        <v>30</v>
      </c>
      <c r="C5" s="91" t="s">
        <v>31</v>
      </c>
      <c r="D5" s="91" t="s">
        <v>41</v>
      </c>
      <c r="E5" s="92" t="s">
        <v>33</v>
      </c>
      <c r="F5" s="92" t="s">
        <v>34</v>
      </c>
      <c r="G5" s="92" t="s">
        <v>42</v>
      </c>
      <c r="H5" s="92" t="s">
        <v>43</v>
      </c>
      <c r="I5" s="98">
        <v>48219</v>
      </c>
      <c r="J5" s="93" t="s">
        <v>37</v>
      </c>
      <c r="K5" s="93">
        <f>I5/28/25*50</f>
        <v>3444.2142857142853</v>
      </c>
      <c r="L5" s="107" t="s">
        <v>23</v>
      </c>
      <c r="M5" s="91" t="s">
        <v>44</v>
      </c>
      <c r="N5" s="91" t="s">
        <v>39</v>
      </c>
    </row>
    <row r="6" spans="1:14" s="72" customFormat="1" ht="157.5">
      <c r="A6" s="90" t="s">
        <v>45</v>
      </c>
      <c r="B6" s="96" t="s">
        <v>30</v>
      </c>
      <c r="C6" s="91" t="s">
        <v>31</v>
      </c>
      <c r="D6" s="91" t="s">
        <v>41</v>
      </c>
      <c r="E6" s="92" t="s">
        <v>33</v>
      </c>
      <c r="F6" s="92" t="s">
        <v>46</v>
      </c>
      <c r="G6" s="92" t="s">
        <v>42</v>
      </c>
      <c r="H6" s="92" t="s">
        <v>43</v>
      </c>
      <c r="I6" s="98">
        <v>96438</v>
      </c>
      <c r="J6" s="93" t="s">
        <v>37</v>
      </c>
      <c r="K6" s="93">
        <f>I6/28/50*50</f>
        <v>3444.2142857142853</v>
      </c>
      <c r="L6" s="107" t="s">
        <v>23</v>
      </c>
      <c r="M6" s="91" t="s">
        <v>44</v>
      </c>
      <c r="N6" s="91" t="s">
        <v>39</v>
      </c>
    </row>
    <row r="7" spans="1:14" s="72" customFormat="1" ht="157.5">
      <c r="A7" s="90" t="s">
        <v>1200</v>
      </c>
      <c r="B7" s="90" t="s">
        <v>30</v>
      </c>
      <c r="C7" s="20" t="s">
        <v>31</v>
      </c>
      <c r="D7" s="90" t="s">
        <v>1203</v>
      </c>
      <c r="E7" s="1" t="s">
        <v>33</v>
      </c>
      <c r="F7" s="1" t="s">
        <v>34</v>
      </c>
      <c r="G7" s="10" t="s">
        <v>1201</v>
      </c>
      <c r="H7" s="102" t="s">
        <v>43</v>
      </c>
      <c r="I7" s="98">
        <v>48219</v>
      </c>
      <c r="J7" s="93" t="s">
        <v>37</v>
      </c>
      <c r="K7" s="93">
        <f>I7/28/25*50</f>
        <v>3444.2142857142853</v>
      </c>
      <c r="L7" s="107" t="s">
        <v>23</v>
      </c>
      <c r="M7" s="91" t="s">
        <v>44</v>
      </c>
      <c r="N7" s="91" t="s">
        <v>39</v>
      </c>
    </row>
    <row r="8" spans="1:14" s="72" customFormat="1" ht="157.5">
      <c r="A8" s="90" t="s">
        <v>1202</v>
      </c>
      <c r="B8" s="90" t="s">
        <v>30</v>
      </c>
      <c r="C8" s="20" t="s">
        <v>31</v>
      </c>
      <c r="D8" s="90" t="s">
        <v>1203</v>
      </c>
      <c r="E8" s="1" t="s">
        <v>33</v>
      </c>
      <c r="F8" s="1" t="s">
        <v>46</v>
      </c>
      <c r="G8" s="10" t="s">
        <v>1201</v>
      </c>
      <c r="H8" s="102" t="s">
        <v>43</v>
      </c>
      <c r="I8" s="98">
        <v>96438</v>
      </c>
      <c r="J8" s="93" t="s">
        <v>37</v>
      </c>
      <c r="K8" s="93">
        <f>I8/28</f>
        <v>3444.2142857142858</v>
      </c>
      <c r="L8" s="107" t="s">
        <v>23</v>
      </c>
      <c r="M8" s="91" t="s">
        <v>44</v>
      </c>
      <c r="N8" s="91" t="s">
        <v>39</v>
      </c>
    </row>
    <row r="9" spans="1:14" ht="67.5">
      <c r="A9" s="90" t="s">
        <v>47</v>
      </c>
      <c r="B9" s="91" t="s">
        <v>48</v>
      </c>
      <c r="C9" s="91" t="s">
        <v>49</v>
      </c>
      <c r="D9" s="91" t="s">
        <v>50</v>
      </c>
      <c r="E9" s="92" t="s">
        <v>51</v>
      </c>
      <c r="F9" s="92" t="s">
        <v>52</v>
      </c>
      <c r="G9" s="92" t="s">
        <v>53</v>
      </c>
      <c r="H9" s="92" t="s">
        <v>54</v>
      </c>
      <c r="I9" s="98">
        <v>6530.9</v>
      </c>
      <c r="J9" s="92" t="s">
        <v>55</v>
      </c>
      <c r="K9" s="93">
        <f>I9/6/2000*1000</f>
        <v>544.24166666666667</v>
      </c>
      <c r="L9" s="107" t="s">
        <v>23</v>
      </c>
      <c r="M9" s="91" t="s">
        <v>56</v>
      </c>
      <c r="N9" s="91"/>
    </row>
    <row r="10" spans="1:14" s="133" customFormat="1" ht="67.5">
      <c r="A10" s="74" t="s">
        <v>57</v>
      </c>
      <c r="B10" s="75" t="s">
        <v>48</v>
      </c>
      <c r="C10" s="21" t="s">
        <v>58</v>
      </c>
      <c r="D10" s="21" t="s">
        <v>59</v>
      </c>
      <c r="E10" s="22" t="s">
        <v>60</v>
      </c>
      <c r="F10" s="22" t="s">
        <v>61</v>
      </c>
      <c r="G10" s="22" t="s">
        <v>62</v>
      </c>
      <c r="H10" s="22" t="s">
        <v>63</v>
      </c>
      <c r="I10" s="98">
        <v>5013.3</v>
      </c>
      <c r="J10" s="92" t="s">
        <v>55</v>
      </c>
      <c r="K10" s="9">
        <f>I10/6/2000*1000</f>
        <v>417.77500000000003</v>
      </c>
      <c r="L10" s="23" t="s">
        <v>23</v>
      </c>
      <c r="M10" s="24" t="s">
        <v>56</v>
      </c>
      <c r="N10" s="25"/>
    </row>
    <row r="11" spans="1:14" s="133" customFormat="1" ht="67.5">
      <c r="A11" s="116" t="s">
        <v>64</v>
      </c>
      <c r="B11" s="113" t="s">
        <v>48</v>
      </c>
      <c r="C11" s="113" t="s">
        <v>58</v>
      </c>
      <c r="D11" s="113" t="s">
        <v>59</v>
      </c>
      <c r="E11" s="114" t="s">
        <v>60</v>
      </c>
      <c r="F11" s="114" t="s">
        <v>65</v>
      </c>
      <c r="G11" s="114" t="s">
        <v>62</v>
      </c>
      <c r="H11" s="114" t="s">
        <v>63</v>
      </c>
      <c r="I11" s="98">
        <v>10026.6</v>
      </c>
      <c r="J11" s="125" t="s">
        <v>55</v>
      </c>
      <c r="K11" s="128">
        <f>I11/6/4000*1000</f>
        <v>417.77500000000003</v>
      </c>
      <c r="L11" s="26" t="s">
        <v>23</v>
      </c>
      <c r="M11" s="27" t="s">
        <v>56</v>
      </c>
      <c r="N11" s="28"/>
    </row>
    <row r="12" spans="1:14" ht="67.5">
      <c r="A12" s="90" t="s">
        <v>66</v>
      </c>
      <c r="B12" s="91" t="s">
        <v>48</v>
      </c>
      <c r="C12" s="91" t="s">
        <v>67</v>
      </c>
      <c r="D12" s="91" t="s">
        <v>68</v>
      </c>
      <c r="E12" s="92" t="s">
        <v>69</v>
      </c>
      <c r="F12" s="92" t="s">
        <v>70</v>
      </c>
      <c r="G12" s="92" t="s">
        <v>71</v>
      </c>
      <c r="H12" s="92" t="s">
        <v>72</v>
      </c>
      <c r="I12" s="98">
        <v>6131.4</v>
      </c>
      <c r="J12" s="92" t="s">
        <v>55</v>
      </c>
      <c r="K12" s="93">
        <f>I12/6/2000*1000</f>
        <v>510.95</v>
      </c>
      <c r="L12" s="107" t="s">
        <v>23</v>
      </c>
      <c r="M12" s="91" t="s">
        <v>73</v>
      </c>
      <c r="N12" s="91"/>
    </row>
    <row r="13" spans="1:14" ht="67.5">
      <c r="A13" s="90" t="s">
        <v>79</v>
      </c>
      <c r="B13" s="91" t="s">
        <v>48</v>
      </c>
      <c r="C13" s="91" t="s">
        <v>74</v>
      </c>
      <c r="D13" s="91" t="s">
        <v>75</v>
      </c>
      <c r="E13" s="92" t="s">
        <v>76</v>
      </c>
      <c r="F13" s="92" t="s">
        <v>80</v>
      </c>
      <c r="G13" s="92" t="s">
        <v>77</v>
      </c>
      <c r="H13" s="92" t="s">
        <v>78</v>
      </c>
      <c r="I13" s="98">
        <v>7019.8</v>
      </c>
      <c r="J13" s="92" t="s">
        <v>55</v>
      </c>
      <c r="K13" s="93">
        <f>I13/6/2000*1000</f>
        <v>584.98333333333335</v>
      </c>
      <c r="L13" s="107" t="s">
        <v>23</v>
      </c>
      <c r="M13" s="91" t="s">
        <v>56</v>
      </c>
      <c r="N13" s="91"/>
    </row>
    <row r="14" spans="1:14" ht="146.25">
      <c r="A14" s="90" t="s">
        <v>81</v>
      </c>
      <c r="B14" s="91" t="s">
        <v>82</v>
      </c>
      <c r="C14" s="91" t="s">
        <v>83</v>
      </c>
      <c r="D14" s="91" t="s">
        <v>84</v>
      </c>
      <c r="E14" s="92" t="s">
        <v>60</v>
      </c>
      <c r="F14" s="92" t="s">
        <v>85</v>
      </c>
      <c r="G14" s="92" t="s">
        <v>86</v>
      </c>
      <c r="H14" s="92" t="s">
        <v>87</v>
      </c>
      <c r="I14" s="98">
        <v>1254.9000000000001</v>
      </c>
      <c r="J14" s="92" t="s">
        <v>88</v>
      </c>
      <c r="K14" s="93">
        <f>I14/10*4.5</f>
        <v>564.70500000000004</v>
      </c>
      <c r="L14" s="107" t="s">
        <v>23</v>
      </c>
      <c r="M14" s="91" t="s">
        <v>89</v>
      </c>
      <c r="N14" s="91"/>
    </row>
    <row r="15" spans="1:14" ht="146.25">
      <c r="A15" s="90" t="s">
        <v>90</v>
      </c>
      <c r="B15" s="91" t="s">
        <v>82</v>
      </c>
      <c r="C15" s="91" t="s">
        <v>83</v>
      </c>
      <c r="D15" s="91" t="s">
        <v>84</v>
      </c>
      <c r="E15" s="92" t="s">
        <v>60</v>
      </c>
      <c r="F15" s="92" t="s">
        <v>91</v>
      </c>
      <c r="G15" s="92" t="s">
        <v>86</v>
      </c>
      <c r="H15" s="92" t="s">
        <v>87</v>
      </c>
      <c r="I15" s="98">
        <v>2379.6999999999998</v>
      </c>
      <c r="J15" s="92" t="s">
        <v>88</v>
      </c>
      <c r="K15" s="93">
        <f>I15/20*4.5</f>
        <v>535.43249999999989</v>
      </c>
      <c r="L15" s="107" t="s">
        <v>23</v>
      </c>
      <c r="M15" s="91" t="s">
        <v>89</v>
      </c>
      <c r="N15" s="91"/>
    </row>
    <row r="16" spans="1:14" ht="146.25">
      <c r="A16" s="90" t="s">
        <v>92</v>
      </c>
      <c r="B16" s="91" t="s">
        <v>82</v>
      </c>
      <c r="C16" s="91" t="s">
        <v>83</v>
      </c>
      <c r="D16" s="91" t="s">
        <v>84</v>
      </c>
      <c r="E16" s="92" t="s">
        <v>60</v>
      </c>
      <c r="F16" s="92" t="s">
        <v>93</v>
      </c>
      <c r="G16" s="92" t="s">
        <v>86</v>
      </c>
      <c r="H16" s="92" t="s">
        <v>87</v>
      </c>
      <c r="I16" s="98">
        <v>3518.5</v>
      </c>
      <c r="J16" s="92" t="s">
        <v>88</v>
      </c>
      <c r="K16" s="93">
        <f>I16/30*4.5</f>
        <v>527.77499999999998</v>
      </c>
      <c r="L16" s="107" t="s">
        <v>23</v>
      </c>
      <c r="M16" s="91" t="s">
        <v>89</v>
      </c>
      <c r="N16" s="91"/>
    </row>
    <row r="17" spans="1:14" ht="146.25">
      <c r="A17" s="90" t="s">
        <v>94</v>
      </c>
      <c r="B17" s="91" t="s">
        <v>82</v>
      </c>
      <c r="C17" s="91" t="s">
        <v>83</v>
      </c>
      <c r="D17" s="91" t="s">
        <v>84</v>
      </c>
      <c r="E17" s="92" t="s">
        <v>60</v>
      </c>
      <c r="F17" s="92" t="s">
        <v>95</v>
      </c>
      <c r="G17" s="92" t="s">
        <v>86</v>
      </c>
      <c r="H17" s="92" t="s">
        <v>87</v>
      </c>
      <c r="I17" s="98">
        <v>6910.6</v>
      </c>
      <c r="J17" s="92" t="s">
        <v>88</v>
      </c>
      <c r="K17" s="93">
        <f>I17/60*4.5</f>
        <v>518.29500000000007</v>
      </c>
      <c r="L17" s="107" t="s">
        <v>23</v>
      </c>
      <c r="M17" s="91" t="s">
        <v>89</v>
      </c>
      <c r="N17" s="91"/>
    </row>
    <row r="18" spans="1:14" ht="90">
      <c r="A18" s="90" t="s">
        <v>96</v>
      </c>
      <c r="B18" s="91" t="s">
        <v>97</v>
      </c>
      <c r="C18" s="91" t="s">
        <v>98</v>
      </c>
      <c r="D18" s="91" t="s">
        <v>99</v>
      </c>
      <c r="E18" s="92" t="s">
        <v>76</v>
      </c>
      <c r="F18" s="92" t="s">
        <v>100</v>
      </c>
      <c r="G18" s="92" t="s">
        <v>71</v>
      </c>
      <c r="H18" s="92" t="s">
        <v>72</v>
      </c>
      <c r="I18" s="98">
        <v>6182.9</v>
      </c>
      <c r="J18" s="92" t="s">
        <v>101</v>
      </c>
      <c r="K18" s="93">
        <f>I18/50*4</f>
        <v>494.63199999999995</v>
      </c>
      <c r="L18" s="107" t="s">
        <v>23</v>
      </c>
      <c r="M18" s="91" t="s">
        <v>102</v>
      </c>
      <c r="N18" s="91"/>
    </row>
    <row r="19" spans="1:14" ht="90">
      <c r="A19" s="90" t="s">
        <v>103</v>
      </c>
      <c r="B19" s="91" t="s">
        <v>97</v>
      </c>
      <c r="C19" s="91" t="s">
        <v>98</v>
      </c>
      <c r="D19" s="91" t="s">
        <v>99</v>
      </c>
      <c r="E19" s="92" t="s">
        <v>76</v>
      </c>
      <c r="F19" s="92" t="s">
        <v>104</v>
      </c>
      <c r="G19" s="92" t="s">
        <v>71</v>
      </c>
      <c r="H19" s="92" t="s">
        <v>72</v>
      </c>
      <c r="I19" s="98">
        <v>9210.6</v>
      </c>
      <c r="J19" s="92" t="s">
        <v>101</v>
      </c>
      <c r="K19" s="93">
        <f>I19/75*4</f>
        <v>491.23200000000003</v>
      </c>
      <c r="L19" s="107" t="s">
        <v>23</v>
      </c>
      <c r="M19" s="91" t="s">
        <v>102</v>
      </c>
      <c r="N19" s="91"/>
    </row>
    <row r="20" spans="1:14" ht="90">
      <c r="A20" s="90" t="s">
        <v>105</v>
      </c>
      <c r="B20" s="91" t="s">
        <v>97</v>
      </c>
      <c r="C20" s="91" t="s">
        <v>98</v>
      </c>
      <c r="D20" s="91" t="s">
        <v>99</v>
      </c>
      <c r="E20" s="92" t="s">
        <v>60</v>
      </c>
      <c r="F20" s="92" t="s">
        <v>106</v>
      </c>
      <c r="G20" s="92" t="s">
        <v>71</v>
      </c>
      <c r="H20" s="92" t="s">
        <v>72</v>
      </c>
      <c r="I20" s="98">
        <v>3757.6</v>
      </c>
      <c r="J20" s="92" t="s">
        <v>101</v>
      </c>
      <c r="K20" s="93">
        <f>I20/30*4</f>
        <v>501.01333333333332</v>
      </c>
      <c r="L20" s="107" t="s">
        <v>23</v>
      </c>
      <c r="M20" s="91" t="s">
        <v>102</v>
      </c>
      <c r="N20" s="91"/>
    </row>
    <row r="21" spans="1:14" ht="90">
      <c r="A21" s="90" t="s">
        <v>107</v>
      </c>
      <c r="B21" s="91" t="s">
        <v>97</v>
      </c>
      <c r="C21" s="91" t="s">
        <v>98</v>
      </c>
      <c r="D21" s="91" t="s">
        <v>99</v>
      </c>
      <c r="E21" s="92" t="s">
        <v>60</v>
      </c>
      <c r="F21" s="92" t="s">
        <v>108</v>
      </c>
      <c r="G21" s="92" t="s">
        <v>71</v>
      </c>
      <c r="H21" s="92" t="s">
        <v>72</v>
      </c>
      <c r="I21" s="98">
        <v>14661.2</v>
      </c>
      <c r="J21" s="92" t="s">
        <v>101</v>
      </c>
      <c r="K21" s="93">
        <f>I21/120*4</f>
        <v>488.70666666666671</v>
      </c>
      <c r="L21" s="107" t="s">
        <v>23</v>
      </c>
      <c r="M21" s="91" t="s">
        <v>102</v>
      </c>
      <c r="N21" s="91"/>
    </row>
    <row r="22" spans="1:14" s="133" customFormat="1" ht="22.5">
      <c r="A22" s="104">
        <v>1328444</v>
      </c>
      <c r="B22" s="104" t="s">
        <v>109</v>
      </c>
      <c r="C22" s="91" t="s">
        <v>110</v>
      </c>
      <c r="D22" s="104" t="s">
        <v>111</v>
      </c>
      <c r="E22" s="92" t="s">
        <v>33</v>
      </c>
      <c r="F22" s="92" t="s">
        <v>112</v>
      </c>
      <c r="G22" s="92" t="s">
        <v>113</v>
      </c>
      <c r="H22" s="92" t="s">
        <v>114</v>
      </c>
      <c r="I22" s="98">
        <v>745282.6</v>
      </c>
      <c r="J22" s="92" t="s">
        <v>115</v>
      </c>
      <c r="K22" s="97">
        <f>I22/28</f>
        <v>26617.235714285714</v>
      </c>
      <c r="L22" s="29" t="s">
        <v>23</v>
      </c>
      <c r="M22" s="115" t="s">
        <v>116</v>
      </c>
      <c r="N22" s="115" t="s">
        <v>117</v>
      </c>
    </row>
    <row r="23" spans="1:14" s="133" customFormat="1" ht="33.75">
      <c r="A23" s="90" t="s">
        <v>118</v>
      </c>
      <c r="B23" s="91" t="s">
        <v>119</v>
      </c>
      <c r="C23" s="91" t="s">
        <v>120</v>
      </c>
      <c r="D23" s="91" t="s">
        <v>121</v>
      </c>
      <c r="E23" s="92" t="s">
        <v>33</v>
      </c>
      <c r="F23" s="102" t="s">
        <v>122</v>
      </c>
      <c r="G23" s="92" t="s">
        <v>123</v>
      </c>
      <c r="H23" s="92" t="s">
        <v>124</v>
      </c>
      <c r="I23" s="98">
        <v>1237258.1000000001</v>
      </c>
      <c r="J23" s="97" t="s">
        <v>125</v>
      </c>
      <c r="K23" s="98">
        <f>I23/84*3</f>
        <v>44187.789285714287</v>
      </c>
      <c r="L23" s="117" t="s">
        <v>23</v>
      </c>
      <c r="M23" s="30" t="s">
        <v>126</v>
      </c>
      <c r="N23" s="30" t="s">
        <v>117</v>
      </c>
    </row>
    <row r="24" spans="1:14" s="133" customFormat="1" ht="225">
      <c r="A24" s="105" t="s">
        <v>127</v>
      </c>
      <c r="B24" s="104" t="s">
        <v>128</v>
      </c>
      <c r="C24" s="91" t="s">
        <v>129</v>
      </c>
      <c r="D24" s="91" t="s">
        <v>130</v>
      </c>
      <c r="E24" s="92" t="s">
        <v>33</v>
      </c>
      <c r="F24" s="92" t="s">
        <v>131</v>
      </c>
      <c r="G24" s="92" t="s">
        <v>132</v>
      </c>
      <c r="H24" s="92" t="s">
        <v>133</v>
      </c>
      <c r="I24" s="98">
        <v>954580.8</v>
      </c>
      <c r="J24" s="10" t="s">
        <v>134</v>
      </c>
      <c r="K24" s="97">
        <f>I24/28/400*400</f>
        <v>34092.171428571433</v>
      </c>
      <c r="L24" s="29" t="s">
        <v>23</v>
      </c>
      <c r="M24" s="115" t="s">
        <v>135</v>
      </c>
      <c r="N24" s="115" t="s">
        <v>117</v>
      </c>
    </row>
    <row r="25" spans="1:14" s="133" customFormat="1" ht="101.25">
      <c r="A25" s="104">
        <v>1328630</v>
      </c>
      <c r="B25" s="104" t="s">
        <v>136</v>
      </c>
      <c r="C25" s="91" t="s">
        <v>137</v>
      </c>
      <c r="D25" s="104" t="s">
        <v>138</v>
      </c>
      <c r="E25" s="92" t="s">
        <v>33</v>
      </c>
      <c r="F25" s="92" t="s">
        <v>139</v>
      </c>
      <c r="G25" s="92" t="s">
        <v>132</v>
      </c>
      <c r="H25" s="92" t="s">
        <v>133</v>
      </c>
      <c r="I25" s="98">
        <v>1148368.7</v>
      </c>
      <c r="J25" s="92" t="s">
        <v>115</v>
      </c>
      <c r="K25" s="97">
        <f>I25/28</f>
        <v>41013.167857142857</v>
      </c>
      <c r="L25" s="29" t="s">
        <v>23</v>
      </c>
      <c r="M25" s="115" t="s">
        <v>140</v>
      </c>
      <c r="N25" s="115" t="s">
        <v>117</v>
      </c>
    </row>
    <row r="26" spans="1:14" s="133" customFormat="1" ht="33.75">
      <c r="A26" s="122" t="s">
        <v>141</v>
      </c>
      <c r="B26" s="122" t="s">
        <v>142</v>
      </c>
      <c r="C26" s="122" t="s">
        <v>143</v>
      </c>
      <c r="D26" s="122" t="s">
        <v>144</v>
      </c>
      <c r="E26" s="123" t="s">
        <v>33</v>
      </c>
      <c r="F26" s="123" t="s">
        <v>145</v>
      </c>
      <c r="G26" s="123" t="s">
        <v>132</v>
      </c>
      <c r="H26" s="123" t="s">
        <v>133</v>
      </c>
      <c r="I26" s="93">
        <v>846829.6</v>
      </c>
      <c r="J26" s="92" t="s">
        <v>146</v>
      </c>
      <c r="K26" s="93">
        <f>I26/28</f>
        <v>30243.914285714283</v>
      </c>
      <c r="L26" s="93" t="s">
        <v>23</v>
      </c>
      <c r="M26" s="115" t="s">
        <v>126</v>
      </c>
      <c r="N26" s="115" t="s">
        <v>117</v>
      </c>
    </row>
    <row r="27" spans="1:14" ht="101.25">
      <c r="A27" s="90" t="s">
        <v>147</v>
      </c>
      <c r="B27" s="91" t="s">
        <v>148</v>
      </c>
      <c r="C27" s="91" t="s">
        <v>149</v>
      </c>
      <c r="D27" s="91" t="s">
        <v>150</v>
      </c>
      <c r="E27" s="92" t="s">
        <v>151</v>
      </c>
      <c r="F27" s="92" t="s">
        <v>152</v>
      </c>
      <c r="G27" s="92" t="s">
        <v>153</v>
      </c>
      <c r="H27" s="92" t="s">
        <v>154</v>
      </c>
      <c r="I27" s="98">
        <v>56036.6</v>
      </c>
      <c r="J27" s="93" t="s">
        <v>23</v>
      </c>
      <c r="K27" s="93" t="s">
        <v>23</v>
      </c>
      <c r="L27" s="103" t="s">
        <v>23</v>
      </c>
      <c r="M27" s="91" t="s">
        <v>155</v>
      </c>
      <c r="N27" s="91" t="s">
        <v>156</v>
      </c>
    </row>
    <row r="28" spans="1:14" s="132" customFormat="1" ht="101.25">
      <c r="A28" s="91" t="s">
        <v>157</v>
      </c>
      <c r="B28" s="91" t="s">
        <v>148</v>
      </c>
      <c r="C28" s="91" t="s">
        <v>149</v>
      </c>
      <c r="D28" s="91" t="s">
        <v>158</v>
      </c>
      <c r="E28" s="92" t="s">
        <v>151</v>
      </c>
      <c r="F28" s="92" t="s">
        <v>159</v>
      </c>
      <c r="G28" s="92" t="s">
        <v>160</v>
      </c>
      <c r="H28" s="92" t="s">
        <v>161</v>
      </c>
      <c r="I28" s="98">
        <v>41443.699999999997</v>
      </c>
      <c r="J28" s="92" t="s">
        <v>23</v>
      </c>
      <c r="K28" s="93" t="s">
        <v>23</v>
      </c>
      <c r="L28" s="103" t="s">
        <v>23</v>
      </c>
      <c r="M28" s="91" t="s">
        <v>155</v>
      </c>
      <c r="N28" s="91" t="s">
        <v>162</v>
      </c>
    </row>
    <row r="29" spans="1:14" s="132" customFormat="1" ht="123.75">
      <c r="A29" s="76" t="s">
        <v>163</v>
      </c>
      <c r="B29" s="5" t="s">
        <v>164</v>
      </c>
      <c r="C29" s="4" t="s">
        <v>165</v>
      </c>
      <c r="D29" s="5" t="s">
        <v>166</v>
      </c>
      <c r="E29" s="31" t="s">
        <v>33</v>
      </c>
      <c r="F29" s="31" t="s">
        <v>167</v>
      </c>
      <c r="G29" s="31" t="s">
        <v>168</v>
      </c>
      <c r="H29" s="31" t="s">
        <v>169</v>
      </c>
      <c r="I29" s="98">
        <v>56040.1</v>
      </c>
      <c r="J29" s="101" t="s">
        <v>23</v>
      </c>
      <c r="K29" s="101" t="s">
        <v>23</v>
      </c>
      <c r="L29" s="101" t="s">
        <v>23</v>
      </c>
      <c r="M29" s="32" t="s">
        <v>170</v>
      </c>
      <c r="N29" s="32" t="s">
        <v>171</v>
      </c>
    </row>
    <row r="30" spans="1:14" s="132" customFormat="1" ht="135">
      <c r="A30" s="76" t="s">
        <v>172</v>
      </c>
      <c r="B30" s="5" t="s">
        <v>164</v>
      </c>
      <c r="C30" s="4" t="s">
        <v>165</v>
      </c>
      <c r="D30" s="5" t="s">
        <v>166</v>
      </c>
      <c r="E30" s="31" t="s">
        <v>33</v>
      </c>
      <c r="F30" s="31" t="s">
        <v>173</v>
      </c>
      <c r="G30" s="31" t="s">
        <v>168</v>
      </c>
      <c r="H30" s="31" t="s">
        <v>169</v>
      </c>
      <c r="I30" s="98">
        <v>74713.2</v>
      </c>
      <c r="J30" s="101" t="s">
        <v>23</v>
      </c>
      <c r="K30" s="101" t="s">
        <v>23</v>
      </c>
      <c r="L30" s="101" t="s">
        <v>23</v>
      </c>
      <c r="M30" s="32" t="s">
        <v>170</v>
      </c>
      <c r="N30" s="32" t="s">
        <v>174</v>
      </c>
    </row>
    <row r="31" spans="1:14" ht="112.5">
      <c r="A31" s="90" t="s">
        <v>175</v>
      </c>
      <c r="B31" s="91" t="s">
        <v>176</v>
      </c>
      <c r="C31" s="91" t="s">
        <v>177</v>
      </c>
      <c r="D31" s="91" t="s">
        <v>178</v>
      </c>
      <c r="E31" s="92" t="s">
        <v>179</v>
      </c>
      <c r="F31" s="92" t="s">
        <v>180</v>
      </c>
      <c r="G31" s="92" t="s">
        <v>181</v>
      </c>
      <c r="H31" s="92" t="s">
        <v>72</v>
      </c>
      <c r="I31" s="93">
        <v>304912.5</v>
      </c>
      <c r="J31" s="93" t="s">
        <v>23</v>
      </c>
      <c r="K31" s="93" t="s">
        <v>23</v>
      </c>
      <c r="L31" s="103" t="s">
        <v>23</v>
      </c>
      <c r="M31" s="91" t="s">
        <v>182</v>
      </c>
      <c r="N31" s="91" t="s">
        <v>183</v>
      </c>
    </row>
    <row r="32" spans="1:14" ht="112.5">
      <c r="A32" s="90" t="s">
        <v>184</v>
      </c>
      <c r="B32" s="96" t="s">
        <v>176</v>
      </c>
      <c r="C32" s="91" t="s">
        <v>177</v>
      </c>
      <c r="D32" s="91" t="s">
        <v>185</v>
      </c>
      <c r="E32" s="92" t="s">
        <v>179</v>
      </c>
      <c r="F32" s="92" t="s">
        <v>186</v>
      </c>
      <c r="G32" s="92" t="s">
        <v>187</v>
      </c>
      <c r="H32" s="92" t="s">
        <v>188</v>
      </c>
      <c r="I32" s="93">
        <v>206560.9</v>
      </c>
      <c r="J32" s="93" t="s">
        <v>23</v>
      </c>
      <c r="K32" s="93" t="s">
        <v>23</v>
      </c>
      <c r="L32" s="103" t="s">
        <v>23</v>
      </c>
      <c r="M32" s="91" t="s">
        <v>182</v>
      </c>
      <c r="N32" s="91" t="s">
        <v>183</v>
      </c>
    </row>
    <row r="33" spans="1:14" ht="112.5">
      <c r="A33" s="90" t="s">
        <v>1267</v>
      </c>
      <c r="B33" s="96" t="s">
        <v>176</v>
      </c>
      <c r="C33" s="91" t="s">
        <v>177</v>
      </c>
      <c r="D33" s="91" t="s">
        <v>1268</v>
      </c>
      <c r="E33" s="92" t="s">
        <v>252</v>
      </c>
      <c r="F33" s="92" t="s">
        <v>1269</v>
      </c>
      <c r="G33" s="92" t="s">
        <v>1270</v>
      </c>
      <c r="H33" s="92" t="s">
        <v>72</v>
      </c>
      <c r="I33" s="93">
        <v>206560.9</v>
      </c>
      <c r="J33" s="93" t="s">
        <v>23</v>
      </c>
      <c r="K33" s="93" t="s">
        <v>23</v>
      </c>
      <c r="L33" s="103" t="s">
        <v>23</v>
      </c>
      <c r="M33" s="91" t="s">
        <v>182</v>
      </c>
      <c r="N33" s="91" t="s">
        <v>183</v>
      </c>
    </row>
    <row r="34" spans="1:14" ht="168.75">
      <c r="A34" s="90" t="s">
        <v>189</v>
      </c>
      <c r="B34" s="91" t="s">
        <v>190</v>
      </c>
      <c r="C34" s="91" t="s">
        <v>191</v>
      </c>
      <c r="D34" s="91" t="s">
        <v>192</v>
      </c>
      <c r="E34" s="92" t="s">
        <v>18</v>
      </c>
      <c r="F34" s="92" t="s">
        <v>193</v>
      </c>
      <c r="G34" s="92" t="s">
        <v>1258</v>
      </c>
      <c r="H34" s="92" t="s">
        <v>194</v>
      </c>
      <c r="I34" s="98">
        <v>7422.6</v>
      </c>
      <c r="J34" s="93" t="s">
        <v>23</v>
      </c>
      <c r="K34" s="93" t="s">
        <v>23</v>
      </c>
      <c r="L34" s="103" t="s">
        <v>23</v>
      </c>
      <c r="M34" s="91" t="s">
        <v>195</v>
      </c>
      <c r="N34" s="91" t="s">
        <v>196</v>
      </c>
    </row>
    <row r="35" spans="1:14" ht="135">
      <c r="A35" s="90">
        <v>1039671</v>
      </c>
      <c r="B35" s="91" t="s">
        <v>197</v>
      </c>
      <c r="C35" s="91" t="s">
        <v>198</v>
      </c>
      <c r="D35" s="91" t="s">
        <v>199</v>
      </c>
      <c r="E35" s="92" t="s">
        <v>33</v>
      </c>
      <c r="F35" s="92" t="s">
        <v>200</v>
      </c>
      <c r="G35" s="92" t="s">
        <v>201</v>
      </c>
      <c r="H35" s="92" t="s">
        <v>202</v>
      </c>
      <c r="I35" s="98">
        <v>583942.19999999995</v>
      </c>
      <c r="J35" s="101" t="s">
        <v>23</v>
      </c>
      <c r="K35" s="98" t="s">
        <v>23</v>
      </c>
      <c r="L35" s="101" t="s">
        <v>23</v>
      </c>
      <c r="M35" s="91" t="s">
        <v>203</v>
      </c>
      <c r="N35" s="111" t="s">
        <v>204</v>
      </c>
    </row>
    <row r="36" spans="1:14" ht="135">
      <c r="A36" s="90" t="s">
        <v>205</v>
      </c>
      <c r="B36" s="91" t="s">
        <v>197</v>
      </c>
      <c r="C36" s="91" t="s">
        <v>198</v>
      </c>
      <c r="D36" s="91" t="s">
        <v>199</v>
      </c>
      <c r="E36" s="92" t="s">
        <v>33</v>
      </c>
      <c r="F36" s="92" t="s">
        <v>206</v>
      </c>
      <c r="G36" s="92" t="s">
        <v>201</v>
      </c>
      <c r="H36" s="92" t="s">
        <v>202</v>
      </c>
      <c r="I36" s="98">
        <v>583942.19999999995</v>
      </c>
      <c r="J36" s="101" t="s">
        <v>23</v>
      </c>
      <c r="K36" s="98" t="s">
        <v>23</v>
      </c>
      <c r="L36" s="101" t="s">
        <v>23</v>
      </c>
      <c r="M36" s="91" t="s">
        <v>203</v>
      </c>
      <c r="N36" s="111" t="s">
        <v>204</v>
      </c>
    </row>
    <row r="37" spans="1:14" ht="146.25">
      <c r="A37" s="90" t="s">
        <v>207</v>
      </c>
      <c r="B37" s="91" t="s">
        <v>208</v>
      </c>
      <c r="C37" s="91" t="s">
        <v>209</v>
      </c>
      <c r="D37" s="91" t="s">
        <v>210</v>
      </c>
      <c r="E37" s="92" t="s">
        <v>33</v>
      </c>
      <c r="F37" s="92" t="s">
        <v>211</v>
      </c>
      <c r="G37" s="92" t="s">
        <v>212</v>
      </c>
      <c r="H37" s="92" t="s">
        <v>213</v>
      </c>
      <c r="I37" s="98">
        <v>132775.6</v>
      </c>
      <c r="J37" s="93" t="s">
        <v>23</v>
      </c>
      <c r="K37" s="93" t="s">
        <v>23</v>
      </c>
      <c r="L37" s="103" t="s">
        <v>23</v>
      </c>
      <c r="M37" s="91" t="s">
        <v>214</v>
      </c>
      <c r="N37" s="91" t="s">
        <v>215</v>
      </c>
    </row>
    <row r="38" spans="1:14" ht="146.25">
      <c r="A38" s="90">
        <v>1039337</v>
      </c>
      <c r="B38" s="91" t="s">
        <v>216</v>
      </c>
      <c r="C38" s="91" t="s">
        <v>217</v>
      </c>
      <c r="D38" s="91" t="s">
        <v>218</v>
      </c>
      <c r="E38" s="92" t="s">
        <v>33</v>
      </c>
      <c r="F38" s="92" t="s">
        <v>219</v>
      </c>
      <c r="G38" s="92" t="s">
        <v>212</v>
      </c>
      <c r="H38" s="92" t="s">
        <v>213</v>
      </c>
      <c r="I38" s="98">
        <v>540576.6</v>
      </c>
      <c r="J38" s="101" t="s">
        <v>23</v>
      </c>
      <c r="K38" s="98" t="s">
        <v>23</v>
      </c>
      <c r="L38" s="125" t="s">
        <v>23</v>
      </c>
      <c r="M38" s="113" t="s">
        <v>220</v>
      </c>
      <c r="N38" s="91" t="s">
        <v>221</v>
      </c>
    </row>
    <row r="39" spans="1:14" ht="146.25">
      <c r="A39" s="127" t="s">
        <v>657</v>
      </c>
      <c r="B39" s="91" t="s">
        <v>1230</v>
      </c>
      <c r="C39" s="113" t="s">
        <v>658</v>
      </c>
      <c r="D39" s="113" t="s">
        <v>659</v>
      </c>
      <c r="E39" s="114" t="s">
        <v>235</v>
      </c>
      <c r="F39" s="136" t="s">
        <v>660</v>
      </c>
      <c r="G39" s="136" t="s">
        <v>1259</v>
      </c>
      <c r="H39" s="136" t="s">
        <v>72</v>
      </c>
      <c r="I39" s="128">
        <v>232416.2</v>
      </c>
      <c r="J39" s="117" t="s">
        <v>23</v>
      </c>
      <c r="K39" s="128" t="s">
        <v>23</v>
      </c>
      <c r="L39" s="117" t="s">
        <v>23</v>
      </c>
      <c r="M39" s="30" t="s">
        <v>661</v>
      </c>
      <c r="N39" s="137" t="s">
        <v>662</v>
      </c>
    </row>
    <row r="40" spans="1:14" ht="146.25">
      <c r="A40" s="127" t="s">
        <v>663</v>
      </c>
      <c r="B40" s="91" t="s">
        <v>1230</v>
      </c>
      <c r="C40" s="113" t="s">
        <v>658</v>
      </c>
      <c r="D40" s="113" t="s">
        <v>659</v>
      </c>
      <c r="E40" s="114" t="s">
        <v>235</v>
      </c>
      <c r="F40" s="136" t="s">
        <v>664</v>
      </c>
      <c r="G40" s="136" t="s">
        <v>1259</v>
      </c>
      <c r="H40" s="136" t="s">
        <v>72</v>
      </c>
      <c r="I40" s="128">
        <v>232416.2</v>
      </c>
      <c r="J40" s="117" t="s">
        <v>23</v>
      </c>
      <c r="K40" s="128" t="s">
        <v>23</v>
      </c>
      <c r="L40" s="117" t="s">
        <v>23</v>
      </c>
      <c r="M40" s="30" t="s">
        <v>661</v>
      </c>
      <c r="N40" s="137" t="s">
        <v>662</v>
      </c>
    </row>
    <row r="41" spans="1:14" ht="146.25">
      <c r="A41" s="127" t="s">
        <v>665</v>
      </c>
      <c r="B41" s="91" t="s">
        <v>1230</v>
      </c>
      <c r="C41" s="113" t="s">
        <v>658</v>
      </c>
      <c r="D41" s="113" t="s">
        <v>659</v>
      </c>
      <c r="E41" s="114" t="s">
        <v>235</v>
      </c>
      <c r="F41" s="136" t="s">
        <v>666</v>
      </c>
      <c r="G41" s="136" t="s">
        <v>1259</v>
      </c>
      <c r="H41" s="136" t="s">
        <v>72</v>
      </c>
      <c r="I41" s="128">
        <v>232416.2</v>
      </c>
      <c r="J41" s="117" t="s">
        <v>23</v>
      </c>
      <c r="K41" s="128" t="s">
        <v>23</v>
      </c>
      <c r="L41" s="117" t="s">
        <v>23</v>
      </c>
      <c r="M41" s="30" t="s">
        <v>661</v>
      </c>
      <c r="N41" s="137" t="s">
        <v>662</v>
      </c>
    </row>
    <row r="42" spans="1:14" ht="123.75">
      <c r="A42" s="90">
        <v>1039690</v>
      </c>
      <c r="B42" s="33" t="s">
        <v>222</v>
      </c>
      <c r="C42" s="33" t="s">
        <v>223</v>
      </c>
      <c r="D42" s="64" t="s">
        <v>224</v>
      </c>
      <c r="E42" s="102" t="s">
        <v>33</v>
      </c>
      <c r="F42" s="65" t="s">
        <v>46</v>
      </c>
      <c r="G42" s="65" t="s">
        <v>225</v>
      </c>
      <c r="H42" s="92" t="s">
        <v>226</v>
      </c>
      <c r="I42" s="98">
        <v>92032.9</v>
      </c>
      <c r="J42" s="101" t="s">
        <v>227</v>
      </c>
      <c r="K42" s="98">
        <f>+(I42/28)/50*300</f>
        <v>19721.335714285713</v>
      </c>
      <c r="L42" s="101" t="s">
        <v>23</v>
      </c>
      <c r="M42" s="91" t="s">
        <v>1236</v>
      </c>
      <c r="N42" s="91" t="s">
        <v>228</v>
      </c>
    </row>
    <row r="43" spans="1:14" ht="112.5">
      <c r="A43" s="90">
        <v>1039691</v>
      </c>
      <c r="B43" s="33" t="s">
        <v>222</v>
      </c>
      <c r="C43" s="33" t="s">
        <v>223</v>
      </c>
      <c r="D43" s="64" t="s">
        <v>224</v>
      </c>
      <c r="E43" s="102" t="s">
        <v>33</v>
      </c>
      <c r="F43" s="65" t="s">
        <v>229</v>
      </c>
      <c r="G43" s="65" t="s">
        <v>225</v>
      </c>
      <c r="H43" s="92" t="s">
        <v>226</v>
      </c>
      <c r="I43" s="98">
        <v>92032.9</v>
      </c>
      <c r="J43" s="101" t="s">
        <v>227</v>
      </c>
      <c r="K43" s="98">
        <f>+(I43/28)/100*300</f>
        <v>9860.6678571428565</v>
      </c>
      <c r="L43" s="101" t="s">
        <v>23</v>
      </c>
      <c r="M43" s="91" t="s">
        <v>1236</v>
      </c>
      <c r="N43" s="91" t="s">
        <v>230</v>
      </c>
    </row>
    <row r="44" spans="1:14" ht="112.5">
      <c r="A44" s="90">
        <v>1039692</v>
      </c>
      <c r="B44" s="33" t="s">
        <v>222</v>
      </c>
      <c r="C44" s="33" t="s">
        <v>223</v>
      </c>
      <c r="D44" s="64" t="s">
        <v>224</v>
      </c>
      <c r="E44" s="102" t="s">
        <v>33</v>
      </c>
      <c r="F44" s="65" t="s">
        <v>231</v>
      </c>
      <c r="G44" s="65" t="s">
        <v>225</v>
      </c>
      <c r="H44" s="92" t="s">
        <v>226</v>
      </c>
      <c r="I44" s="98">
        <v>92032.9</v>
      </c>
      <c r="J44" s="101" t="s">
        <v>227</v>
      </c>
      <c r="K44" s="98">
        <f>+(I44/28)/150*300</f>
        <v>6573.778571428571</v>
      </c>
      <c r="L44" s="101" t="s">
        <v>23</v>
      </c>
      <c r="M44" s="91" t="s">
        <v>1236</v>
      </c>
      <c r="N44" s="91" t="s">
        <v>230</v>
      </c>
    </row>
    <row r="45" spans="1:14" ht="90">
      <c r="A45" s="127">
        <v>1039256</v>
      </c>
      <c r="B45" s="124" t="s">
        <v>1262</v>
      </c>
      <c r="C45" s="113" t="s">
        <v>611</v>
      </c>
      <c r="D45" s="113" t="s">
        <v>612</v>
      </c>
      <c r="E45" s="114" t="s">
        <v>33</v>
      </c>
      <c r="F45" s="114" t="s">
        <v>613</v>
      </c>
      <c r="G45" s="114" t="s">
        <v>1259</v>
      </c>
      <c r="H45" s="114" t="s">
        <v>72</v>
      </c>
      <c r="I45" s="128">
        <v>54128</v>
      </c>
      <c r="J45" s="119" t="s">
        <v>23</v>
      </c>
      <c r="K45" s="119" t="s">
        <v>23</v>
      </c>
      <c r="L45" s="119" t="s">
        <v>23</v>
      </c>
      <c r="M45" s="113" t="s">
        <v>614</v>
      </c>
      <c r="N45" s="91" t="s">
        <v>615</v>
      </c>
    </row>
    <row r="46" spans="1:14" ht="90">
      <c r="A46" s="127">
        <v>1039258</v>
      </c>
      <c r="B46" s="124" t="s">
        <v>1262</v>
      </c>
      <c r="C46" s="113" t="s">
        <v>611</v>
      </c>
      <c r="D46" s="113" t="s">
        <v>612</v>
      </c>
      <c r="E46" s="114" t="s">
        <v>33</v>
      </c>
      <c r="F46" s="114" t="s">
        <v>616</v>
      </c>
      <c r="G46" s="114" t="s">
        <v>1259</v>
      </c>
      <c r="H46" s="114" t="s">
        <v>72</v>
      </c>
      <c r="I46" s="128">
        <v>270392.59999999998</v>
      </c>
      <c r="J46" s="119" t="s">
        <v>23</v>
      </c>
      <c r="K46" s="119" t="s">
        <v>23</v>
      </c>
      <c r="L46" s="119" t="s">
        <v>23</v>
      </c>
      <c r="M46" s="113" t="s">
        <v>614</v>
      </c>
      <c r="N46" s="91" t="s">
        <v>615</v>
      </c>
    </row>
    <row r="47" spans="1:14" ht="146.25">
      <c r="A47" s="104">
        <v>1039343</v>
      </c>
      <c r="B47" s="104" t="s">
        <v>232</v>
      </c>
      <c r="C47" s="104" t="s">
        <v>233</v>
      </c>
      <c r="D47" s="104" t="s">
        <v>234</v>
      </c>
      <c r="E47" s="101" t="s">
        <v>235</v>
      </c>
      <c r="F47" s="92" t="s">
        <v>236</v>
      </c>
      <c r="G47" s="92" t="s">
        <v>237</v>
      </c>
      <c r="H47" s="101" t="s">
        <v>114</v>
      </c>
      <c r="I47" s="98">
        <v>558250.19999999995</v>
      </c>
      <c r="J47" s="93" t="s">
        <v>238</v>
      </c>
      <c r="K47" s="93">
        <f>+(I47/90)/140*420</f>
        <v>18608.34</v>
      </c>
      <c r="L47" s="117" t="s">
        <v>23</v>
      </c>
      <c r="M47" s="34" t="s">
        <v>239</v>
      </c>
      <c r="N47" s="69" t="s">
        <v>240</v>
      </c>
    </row>
    <row r="48" spans="1:14" ht="146.25">
      <c r="A48" s="104" t="s">
        <v>241</v>
      </c>
      <c r="B48" s="104" t="s">
        <v>242</v>
      </c>
      <c r="C48" s="104" t="s">
        <v>243</v>
      </c>
      <c r="D48" s="104" t="s">
        <v>244</v>
      </c>
      <c r="E48" s="92" t="s">
        <v>76</v>
      </c>
      <c r="F48" s="92" t="s">
        <v>245</v>
      </c>
      <c r="G48" s="92" t="s">
        <v>246</v>
      </c>
      <c r="H48" s="92" t="s">
        <v>87</v>
      </c>
      <c r="I48" s="93">
        <v>508218.4</v>
      </c>
      <c r="J48" s="11" t="s">
        <v>23</v>
      </c>
      <c r="K48" s="11" t="s">
        <v>23</v>
      </c>
      <c r="L48" s="11" t="s">
        <v>23</v>
      </c>
      <c r="M48" s="91" t="s">
        <v>247</v>
      </c>
      <c r="N48" s="91" t="s">
        <v>240</v>
      </c>
    </row>
    <row r="49" spans="1:14" ht="168.75">
      <c r="A49" s="90" t="s">
        <v>290</v>
      </c>
      <c r="B49" s="91" t="s">
        <v>298</v>
      </c>
      <c r="C49" s="91" t="s">
        <v>291</v>
      </c>
      <c r="D49" s="91" t="s">
        <v>292</v>
      </c>
      <c r="E49" s="92" t="s">
        <v>293</v>
      </c>
      <c r="F49" s="92" t="s">
        <v>294</v>
      </c>
      <c r="G49" s="92" t="s">
        <v>264</v>
      </c>
      <c r="H49" s="92" t="s">
        <v>265</v>
      </c>
      <c r="I49" s="98">
        <v>174731.7</v>
      </c>
      <c r="J49" s="93" t="s">
        <v>23</v>
      </c>
      <c r="K49" s="93" t="s">
        <v>23</v>
      </c>
      <c r="L49" s="103" t="s">
        <v>23</v>
      </c>
      <c r="M49" s="91" t="s">
        <v>306</v>
      </c>
      <c r="N49" s="91" t="s">
        <v>1173</v>
      </c>
    </row>
    <row r="50" spans="1:14" ht="168.75">
      <c r="A50" s="90" t="s">
        <v>295</v>
      </c>
      <c r="B50" s="91" t="s">
        <v>298</v>
      </c>
      <c r="C50" s="91" t="s">
        <v>291</v>
      </c>
      <c r="D50" s="91" t="s">
        <v>292</v>
      </c>
      <c r="E50" s="92" t="s">
        <v>76</v>
      </c>
      <c r="F50" s="92" t="s">
        <v>296</v>
      </c>
      <c r="G50" s="92" t="s">
        <v>264</v>
      </c>
      <c r="H50" s="92" t="s">
        <v>265</v>
      </c>
      <c r="I50" s="98">
        <v>106132.8</v>
      </c>
      <c r="J50" s="93" t="s">
        <v>23</v>
      </c>
      <c r="K50" s="93" t="s">
        <v>23</v>
      </c>
      <c r="L50" s="103" t="s">
        <v>23</v>
      </c>
      <c r="M50" s="91" t="s">
        <v>306</v>
      </c>
      <c r="N50" s="91" t="s">
        <v>1173</v>
      </c>
    </row>
    <row r="51" spans="1:14" s="133" customFormat="1" ht="168.75">
      <c r="A51" s="100" t="s">
        <v>297</v>
      </c>
      <c r="B51" s="96" t="s">
        <v>298</v>
      </c>
      <c r="C51" s="96" t="s">
        <v>291</v>
      </c>
      <c r="D51" s="91" t="s">
        <v>299</v>
      </c>
      <c r="E51" s="92" t="s">
        <v>151</v>
      </c>
      <c r="F51" s="92" t="s">
        <v>300</v>
      </c>
      <c r="G51" s="92" t="s">
        <v>1271</v>
      </c>
      <c r="H51" s="92" t="s">
        <v>1272</v>
      </c>
      <c r="I51" s="98">
        <v>26135.9</v>
      </c>
      <c r="J51" s="93" t="s">
        <v>23</v>
      </c>
      <c r="K51" s="98" t="s">
        <v>23</v>
      </c>
      <c r="L51" s="101" t="s">
        <v>23</v>
      </c>
      <c r="M51" s="91" t="s">
        <v>306</v>
      </c>
      <c r="N51" s="91" t="s">
        <v>1173</v>
      </c>
    </row>
    <row r="52" spans="1:14" s="133" customFormat="1" ht="168.75">
      <c r="A52" s="100" t="s">
        <v>301</v>
      </c>
      <c r="B52" s="91" t="s">
        <v>298</v>
      </c>
      <c r="C52" s="91" t="s">
        <v>291</v>
      </c>
      <c r="D52" s="112" t="s">
        <v>302</v>
      </c>
      <c r="E52" s="92" t="s">
        <v>151</v>
      </c>
      <c r="F52" s="92" t="s">
        <v>300</v>
      </c>
      <c r="G52" s="92" t="s">
        <v>86</v>
      </c>
      <c r="H52" s="92" t="s">
        <v>87</v>
      </c>
      <c r="I52" s="98">
        <v>26135.9</v>
      </c>
      <c r="J52" s="93" t="s">
        <v>23</v>
      </c>
      <c r="K52" s="93" t="s">
        <v>23</v>
      </c>
      <c r="L52" s="93" t="s">
        <v>23</v>
      </c>
      <c r="M52" s="91" t="s">
        <v>306</v>
      </c>
      <c r="N52" s="91" t="s">
        <v>1174</v>
      </c>
    </row>
    <row r="53" spans="1:14" s="133" customFormat="1" ht="168.75">
      <c r="A53" s="100" t="s">
        <v>303</v>
      </c>
      <c r="B53" s="91" t="s">
        <v>298</v>
      </c>
      <c r="C53" s="91" t="s">
        <v>291</v>
      </c>
      <c r="D53" s="112" t="s">
        <v>302</v>
      </c>
      <c r="E53" s="92" t="s">
        <v>151</v>
      </c>
      <c r="F53" s="92" t="s">
        <v>304</v>
      </c>
      <c r="G53" s="92" t="s">
        <v>86</v>
      </c>
      <c r="H53" s="92" t="s">
        <v>87</v>
      </c>
      <c r="I53" s="98">
        <v>73086.600000000006</v>
      </c>
      <c r="J53" s="93" t="s">
        <v>23</v>
      </c>
      <c r="K53" s="93" t="s">
        <v>23</v>
      </c>
      <c r="L53" s="93" t="s">
        <v>23</v>
      </c>
      <c r="M53" s="91" t="s">
        <v>306</v>
      </c>
      <c r="N53" s="91" t="s">
        <v>1174</v>
      </c>
    </row>
    <row r="54" spans="1:14" s="133" customFormat="1" ht="168.75">
      <c r="A54" s="91" t="s">
        <v>305</v>
      </c>
      <c r="B54" s="91" t="s">
        <v>298</v>
      </c>
      <c r="C54" s="91" t="s">
        <v>291</v>
      </c>
      <c r="D54" s="91" t="s">
        <v>299</v>
      </c>
      <c r="E54" s="92" t="s">
        <v>151</v>
      </c>
      <c r="F54" s="92" t="s">
        <v>304</v>
      </c>
      <c r="G54" s="92" t="s">
        <v>1273</v>
      </c>
      <c r="H54" s="92" t="s">
        <v>1274</v>
      </c>
      <c r="I54" s="98">
        <v>73086.600000000006</v>
      </c>
      <c r="J54" s="101" t="s">
        <v>23</v>
      </c>
      <c r="K54" s="93" t="s">
        <v>23</v>
      </c>
      <c r="L54" s="93" t="s">
        <v>23</v>
      </c>
      <c r="M54" s="91" t="s">
        <v>306</v>
      </c>
      <c r="N54" s="91" t="s">
        <v>1174</v>
      </c>
    </row>
    <row r="55" spans="1:14" s="133" customFormat="1" ht="168.75">
      <c r="A55" s="105" t="s">
        <v>307</v>
      </c>
      <c r="B55" s="104" t="s">
        <v>298</v>
      </c>
      <c r="C55" s="91" t="s">
        <v>291</v>
      </c>
      <c r="D55" s="91" t="s">
        <v>308</v>
      </c>
      <c r="E55" s="92" t="s">
        <v>151</v>
      </c>
      <c r="F55" s="92" t="s">
        <v>300</v>
      </c>
      <c r="G55" s="92" t="s">
        <v>287</v>
      </c>
      <c r="H55" s="92" t="s">
        <v>114</v>
      </c>
      <c r="I55" s="98">
        <v>26135.9</v>
      </c>
      <c r="J55" s="101" t="s">
        <v>23</v>
      </c>
      <c r="K55" s="93" t="s">
        <v>23</v>
      </c>
      <c r="L55" s="93" t="s">
        <v>23</v>
      </c>
      <c r="M55" s="91" t="s">
        <v>306</v>
      </c>
      <c r="N55" s="91" t="s">
        <v>1174</v>
      </c>
    </row>
    <row r="56" spans="1:14" s="133" customFormat="1" ht="168.75">
      <c r="A56" s="105" t="s">
        <v>309</v>
      </c>
      <c r="B56" s="104" t="s">
        <v>298</v>
      </c>
      <c r="C56" s="91" t="s">
        <v>291</v>
      </c>
      <c r="D56" s="91" t="s">
        <v>308</v>
      </c>
      <c r="E56" s="92" t="s">
        <v>151</v>
      </c>
      <c r="F56" s="92" t="s">
        <v>304</v>
      </c>
      <c r="G56" s="92" t="s">
        <v>287</v>
      </c>
      <c r="H56" s="92" t="s">
        <v>114</v>
      </c>
      <c r="I56" s="98">
        <v>73086.600000000006</v>
      </c>
      <c r="J56" s="101" t="s">
        <v>23</v>
      </c>
      <c r="K56" s="93" t="s">
        <v>23</v>
      </c>
      <c r="L56" s="93" t="s">
        <v>23</v>
      </c>
      <c r="M56" s="91" t="s">
        <v>306</v>
      </c>
      <c r="N56" s="91" t="s">
        <v>1174</v>
      </c>
    </row>
    <row r="57" spans="1:14" s="133" customFormat="1" ht="236.25">
      <c r="A57" s="116" t="s">
        <v>248</v>
      </c>
      <c r="B57" s="113" t="s">
        <v>249</v>
      </c>
      <c r="C57" s="113" t="s">
        <v>250</v>
      </c>
      <c r="D57" s="113" t="s">
        <v>251</v>
      </c>
      <c r="E57" s="114" t="s">
        <v>252</v>
      </c>
      <c r="F57" s="114" t="s">
        <v>253</v>
      </c>
      <c r="G57" s="92" t="s">
        <v>254</v>
      </c>
      <c r="H57" s="92" t="s">
        <v>133</v>
      </c>
      <c r="I57" s="98">
        <v>46877.599999999999</v>
      </c>
      <c r="J57" s="125" t="s">
        <v>23</v>
      </c>
      <c r="K57" s="128" t="s">
        <v>23</v>
      </c>
      <c r="L57" s="125" t="s">
        <v>23</v>
      </c>
      <c r="M57" s="91" t="s">
        <v>255</v>
      </c>
      <c r="N57" s="91" t="s">
        <v>256</v>
      </c>
    </row>
    <row r="58" spans="1:14" s="133" customFormat="1" ht="236.25">
      <c r="A58" s="116" t="s">
        <v>257</v>
      </c>
      <c r="B58" s="113" t="s">
        <v>249</v>
      </c>
      <c r="C58" s="113" t="s">
        <v>250</v>
      </c>
      <c r="D58" s="113" t="s">
        <v>251</v>
      </c>
      <c r="E58" s="114" t="s">
        <v>252</v>
      </c>
      <c r="F58" s="114" t="s">
        <v>258</v>
      </c>
      <c r="G58" s="92" t="s">
        <v>254</v>
      </c>
      <c r="H58" s="92" t="s">
        <v>133</v>
      </c>
      <c r="I58" s="98">
        <v>117957.4</v>
      </c>
      <c r="J58" s="125" t="s">
        <v>23</v>
      </c>
      <c r="K58" s="128" t="s">
        <v>23</v>
      </c>
      <c r="L58" s="125" t="s">
        <v>23</v>
      </c>
      <c r="M58" s="91" t="s">
        <v>255</v>
      </c>
      <c r="N58" s="91" t="s">
        <v>256</v>
      </c>
    </row>
    <row r="59" spans="1:14" ht="270">
      <c r="A59" s="90" t="s">
        <v>259</v>
      </c>
      <c r="B59" s="91" t="s">
        <v>260</v>
      </c>
      <c r="C59" s="91" t="s">
        <v>261</v>
      </c>
      <c r="D59" s="91" t="s">
        <v>262</v>
      </c>
      <c r="E59" s="92" t="s">
        <v>252</v>
      </c>
      <c r="F59" s="92" t="s">
        <v>263</v>
      </c>
      <c r="G59" s="92" t="s">
        <v>264</v>
      </c>
      <c r="H59" s="92" t="s">
        <v>265</v>
      </c>
      <c r="I59" s="98">
        <v>33512.400000000001</v>
      </c>
      <c r="J59" s="93" t="s">
        <v>23</v>
      </c>
      <c r="K59" s="93" t="s">
        <v>23</v>
      </c>
      <c r="L59" s="103" t="s">
        <v>23</v>
      </c>
      <c r="M59" s="91" t="s">
        <v>266</v>
      </c>
      <c r="N59" s="91" t="s">
        <v>1167</v>
      </c>
    </row>
    <row r="60" spans="1:14" ht="270">
      <c r="A60" s="90" t="s">
        <v>267</v>
      </c>
      <c r="B60" s="91" t="s">
        <v>260</v>
      </c>
      <c r="C60" s="91" t="s">
        <v>261</v>
      </c>
      <c r="D60" s="91" t="s">
        <v>262</v>
      </c>
      <c r="E60" s="92" t="s">
        <v>252</v>
      </c>
      <c r="F60" s="92" t="s">
        <v>268</v>
      </c>
      <c r="G60" s="92" t="s">
        <v>264</v>
      </c>
      <c r="H60" s="92" t="s">
        <v>265</v>
      </c>
      <c r="I60" s="98">
        <v>83690.2</v>
      </c>
      <c r="J60" s="93" t="s">
        <v>23</v>
      </c>
      <c r="K60" s="93" t="s">
        <v>23</v>
      </c>
      <c r="L60" s="103" t="s">
        <v>23</v>
      </c>
      <c r="M60" s="91" t="s">
        <v>266</v>
      </c>
      <c r="N60" s="91" t="s">
        <v>1168</v>
      </c>
    </row>
    <row r="61" spans="1:14" ht="202.5">
      <c r="A61" s="91" t="s">
        <v>269</v>
      </c>
      <c r="B61" s="91" t="s">
        <v>260</v>
      </c>
      <c r="C61" s="91" t="s">
        <v>261</v>
      </c>
      <c r="D61" s="91" t="s">
        <v>262</v>
      </c>
      <c r="E61" s="92" t="s">
        <v>76</v>
      </c>
      <c r="F61" s="92" t="s">
        <v>270</v>
      </c>
      <c r="G61" s="92" t="s">
        <v>271</v>
      </c>
      <c r="H61" s="92" t="s">
        <v>265</v>
      </c>
      <c r="I61" s="98">
        <v>149691.1</v>
      </c>
      <c r="J61" s="92" t="s">
        <v>23</v>
      </c>
      <c r="K61" s="92" t="s">
        <v>23</v>
      </c>
      <c r="L61" s="103" t="s">
        <v>23</v>
      </c>
      <c r="M61" s="91" t="s">
        <v>272</v>
      </c>
      <c r="N61" s="91" t="s">
        <v>1169</v>
      </c>
    </row>
    <row r="62" spans="1:14" ht="247.5">
      <c r="A62" s="90" t="s">
        <v>273</v>
      </c>
      <c r="B62" s="91" t="s">
        <v>284</v>
      </c>
      <c r="C62" s="91" t="s">
        <v>261</v>
      </c>
      <c r="D62" s="91" t="s">
        <v>274</v>
      </c>
      <c r="E62" s="92" t="s">
        <v>252</v>
      </c>
      <c r="F62" s="92" t="s">
        <v>275</v>
      </c>
      <c r="G62" s="92" t="s">
        <v>1275</v>
      </c>
      <c r="H62" s="92" t="s">
        <v>1276</v>
      </c>
      <c r="I62" s="98">
        <v>24830.2</v>
      </c>
      <c r="J62" s="93" t="s">
        <v>23</v>
      </c>
      <c r="K62" s="93" t="s">
        <v>23</v>
      </c>
      <c r="L62" s="103" t="s">
        <v>23</v>
      </c>
      <c r="M62" s="70" t="s">
        <v>277</v>
      </c>
      <c r="N62" s="91" t="s">
        <v>1170</v>
      </c>
    </row>
    <row r="63" spans="1:14" ht="247.5">
      <c r="A63" s="90" t="s">
        <v>278</v>
      </c>
      <c r="B63" s="91" t="s">
        <v>284</v>
      </c>
      <c r="C63" s="91" t="s">
        <v>261</v>
      </c>
      <c r="D63" s="91" t="s">
        <v>274</v>
      </c>
      <c r="E63" s="92" t="s">
        <v>252</v>
      </c>
      <c r="F63" s="92" t="s">
        <v>279</v>
      </c>
      <c r="G63" s="92" t="s">
        <v>1275</v>
      </c>
      <c r="H63" s="92" t="s">
        <v>1276</v>
      </c>
      <c r="I63" s="93">
        <v>41036.800000000003</v>
      </c>
      <c r="J63" s="93" t="s">
        <v>23</v>
      </c>
      <c r="K63" s="93" t="s">
        <v>23</v>
      </c>
      <c r="L63" s="103" t="s">
        <v>23</v>
      </c>
      <c r="M63" s="70" t="s">
        <v>277</v>
      </c>
      <c r="N63" s="91" t="s">
        <v>1171</v>
      </c>
    </row>
    <row r="64" spans="1:14" ht="270">
      <c r="A64" s="90" t="s">
        <v>280</v>
      </c>
      <c r="B64" s="91" t="s">
        <v>260</v>
      </c>
      <c r="C64" s="91" t="s">
        <v>261</v>
      </c>
      <c r="D64" s="91" t="s">
        <v>281</v>
      </c>
      <c r="E64" s="92" t="s">
        <v>252</v>
      </c>
      <c r="F64" s="92" t="s">
        <v>263</v>
      </c>
      <c r="G64" s="92" t="s">
        <v>62</v>
      </c>
      <c r="H64" s="92" t="s">
        <v>63</v>
      </c>
      <c r="I64" s="98">
        <v>24830.2</v>
      </c>
      <c r="J64" s="93" t="s">
        <v>23</v>
      </c>
      <c r="K64" s="93" t="s">
        <v>23</v>
      </c>
      <c r="L64" s="103" t="s">
        <v>23</v>
      </c>
      <c r="M64" s="70" t="s">
        <v>266</v>
      </c>
      <c r="N64" s="91" t="s">
        <v>1168</v>
      </c>
    </row>
    <row r="65" spans="1:14" ht="270">
      <c r="A65" s="90" t="s">
        <v>282</v>
      </c>
      <c r="B65" s="91" t="s">
        <v>260</v>
      </c>
      <c r="C65" s="91" t="s">
        <v>261</v>
      </c>
      <c r="D65" s="91" t="s">
        <v>281</v>
      </c>
      <c r="E65" s="92" t="s">
        <v>252</v>
      </c>
      <c r="F65" s="92" t="s">
        <v>268</v>
      </c>
      <c r="G65" s="92" t="s">
        <v>62</v>
      </c>
      <c r="H65" s="92" t="s">
        <v>63</v>
      </c>
      <c r="I65" s="93">
        <v>41036.800000000003</v>
      </c>
      <c r="J65" s="93" t="s">
        <v>23</v>
      </c>
      <c r="K65" s="93" t="s">
        <v>23</v>
      </c>
      <c r="L65" s="103" t="s">
        <v>23</v>
      </c>
      <c r="M65" s="70" t="s">
        <v>266</v>
      </c>
      <c r="N65" s="91" t="s">
        <v>1172</v>
      </c>
    </row>
    <row r="66" spans="1:14" ht="270">
      <c r="A66" s="105" t="s">
        <v>283</v>
      </c>
      <c r="B66" s="104" t="s">
        <v>284</v>
      </c>
      <c r="C66" s="91" t="s">
        <v>261</v>
      </c>
      <c r="D66" s="91" t="s">
        <v>285</v>
      </c>
      <c r="E66" s="92" t="s">
        <v>252</v>
      </c>
      <c r="F66" s="92" t="s">
        <v>286</v>
      </c>
      <c r="G66" s="92" t="s">
        <v>287</v>
      </c>
      <c r="H66" s="92" t="s">
        <v>114</v>
      </c>
      <c r="I66" s="93">
        <v>12415.1</v>
      </c>
      <c r="J66" s="93" t="s">
        <v>23</v>
      </c>
      <c r="K66" s="93" t="s">
        <v>23</v>
      </c>
      <c r="L66" s="35" t="s">
        <v>23</v>
      </c>
      <c r="M66" s="70" t="s">
        <v>266</v>
      </c>
      <c r="N66" s="91" t="s">
        <v>1168</v>
      </c>
    </row>
    <row r="67" spans="1:14" ht="270">
      <c r="A67" s="105" t="s">
        <v>288</v>
      </c>
      <c r="B67" s="104" t="s">
        <v>284</v>
      </c>
      <c r="C67" s="91" t="s">
        <v>261</v>
      </c>
      <c r="D67" s="91" t="s">
        <v>285</v>
      </c>
      <c r="E67" s="92" t="s">
        <v>252</v>
      </c>
      <c r="F67" s="92" t="s">
        <v>289</v>
      </c>
      <c r="G67" s="92" t="s">
        <v>287</v>
      </c>
      <c r="H67" s="92" t="s">
        <v>114</v>
      </c>
      <c r="I67" s="93">
        <v>41036.800000000003</v>
      </c>
      <c r="J67" s="93" t="s">
        <v>23</v>
      </c>
      <c r="K67" s="93" t="s">
        <v>23</v>
      </c>
      <c r="L67" s="35" t="s">
        <v>23</v>
      </c>
      <c r="M67" s="70" t="s">
        <v>266</v>
      </c>
      <c r="N67" s="91" t="s">
        <v>1172</v>
      </c>
    </row>
    <row r="68" spans="1:14" ht="258.75">
      <c r="A68" s="90" t="s">
        <v>310</v>
      </c>
      <c r="B68" s="91" t="s">
        <v>311</v>
      </c>
      <c r="C68" s="91" t="s">
        <v>312</v>
      </c>
      <c r="D68" s="91" t="s">
        <v>313</v>
      </c>
      <c r="E68" s="92" t="s">
        <v>314</v>
      </c>
      <c r="F68" s="92" t="s">
        <v>315</v>
      </c>
      <c r="G68" s="92" t="s">
        <v>316</v>
      </c>
      <c r="H68" s="92" t="s">
        <v>72</v>
      </c>
      <c r="I68" s="98">
        <v>17698.2</v>
      </c>
      <c r="J68" s="93" t="s">
        <v>23</v>
      </c>
      <c r="K68" s="93" t="s">
        <v>23</v>
      </c>
      <c r="L68" s="103" t="s">
        <v>23</v>
      </c>
      <c r="M68" s="91" t="s">
        <v>317</v>
      </c>
      <c r="N68" s="91" t="s">
        <v>318</v>
      </c>
    </row>
    <row r="69" spans="1:14" ht="270">
      <c r="A69" s="91" t="s">
        <v>319</v>
      </c>
      <c r="B69" s="91" t="s">
        <v>320</v>
      </c>
      <c r="C69" s="91" t="s">
        <v>321</v>
      </c>
      <c r="D69" s="91" t="s">
        <v>322</v>
      </c>
      <c r="E69" s="92" t="s">
        <v>252</v>
      </c>
      <c r="F69" s="92" t="s">
        <v>323</v>
      </c>
      <c r="G69" s="92" t="s">
        <v>324</v>
      </c>
      <c r="H69" s="92" t="s">
        <v>325</v>
      </c>
      <c r="I69" s="93">
        <v>21688.9</v>
      </c>
      <c r="J69" s="93" t="s">
        <v>23</v>
      </c>
      <c r="K69" s="93" t="s">
        <v>23</v>
      </c>
      <c r="L69" s="103" t="s">
        <v>23</v>
      </c>
      <c r="M69" s="91" t="s">
        <v>326</v>
      </c>
      <c r="N69" s="91" t="s">
        <v>327</v>
      </c>
    </row>
    <row r="70" spans="1:14" ht="270">
      <c r="A70" s="91" t="s">
        <v>328</v>
      </c>
      <c r="B70" s="91" t="s">
        <v>320</v>
      </c>
      <c r="C70" s="91" t="s">
        <v>321</v>
      </c>
      <c r="D70" s="91" t="s">
        <v>322</v>
      </c>
      <c r="E70" s="92" t="s">
        <v>252</v>
      </c>
      <c r="F70" s="92" t="s">
        <v>329</v>
      </c>
      <c r="G70" s="92" t="s">
        <v>324</v>
      </c>
      <c r="H70" s="92" t="s">
        <v>325</v>
      </c>
      <c r="I70" s="98">
        <v>79001.5</v>
      </c>
      <c r="J70" s="93" t="s">
        <v>23</v>
      </c>
      <c r="K70" s="93" t="s">
        <v>23</v>
      </c>
      <c r="L70" s="103" t="s">
        <v>23</v>
      </c>
      <c r="M70" s="91" t="s">
        <v>326</v>
      </c>
      <c r="N70" s="91" t="s">
        <v>327</v>
      </c>
    </row>
    <row r="71" spans="1:14" ht="270">
      <c r="A71" s="90" t="s">
        <v>330</v>
      </c>
      <c r="B71" s="91" t="s">
        <v>331</v>
      </c>
      <c r="C71" s="120" t="s">
        <v>321</v>
      </c>
      <c r="D71" s="91" t="s">
        <v>332</v>
      </c>
      <c r="E71" s="92" t="s">
        <v>252</v>
      </c>
      <c r="F71" s="92" t="s">
        <v>333</v>
      </c>
      <c r="G71" s="92" t="s">
        <v>334</v>
      </c>
      <c r="H71" s="92" t="s">
        <v>226</v>
      </c>
      <c r="I71" s="93">
        <v>17641.900000000001</v>
      </c>
      <c r="J71" s="93" t="s">
        <v>23</v>
      </c>
      <c r="K71" s="93" t="s">
        <v>23</v>
      </c>
      <c r="L71" s="103" t="s">
        <v>23</v>
      </c>
      <c r="M71" s="91" t="s">
        <v>1237</v>
      </c>
      <c r="N71" s="91" t="s">
        <v>327</v>
      </c>
    </row>
    <row r="72" spans="1:14" ht="270">
      <c r="A72" s="90" t="s">
        <v>335</v>
      </c>
      <c r="B72" s="91" t="s">
        <v>331</v>
      </c>
      <c r="C72" s="120" t="s">
        <v>321</v>
      </c>
      <c r="D72" s="91" t="s">
        <v>332</v>
      </c>
      <c r="E72" s="92" t="s">
        <v>252</v>
      </c>
      <c r="F72" s="92" t="s">
        <v>336</v>
      </c>
      <c r="G72" s="92" t="s">
        <v>334</v>
      </c>
      <c r="H72" s="92" t="s">
        <v>226</v>
      </c>
      <c r="I72" s="98">
        <v>64820.6</v>
      </c>
      <c r="J72" s="93" t="s">
        <v>23</v>
      </c>
      <c r="K72" s="93" t="s">
        <v>23</v>
      </c>
      <c r="L72" s="103" t="s">
        <v>23</v>
      </c>
      <c r="M72" s="91" t="s">
        <v>1237</v>
      </c>
      <c r="N72" s="91" t="s">
        <v>327</v>
      </c>
    </row>
    <row r="73" spans="1:14" ht="270">
      <c r="A73" s="90" t="s">
        <v>337</v>
      </c>
      <c r="B73" s="91" t="s">
        <v>331</v>
      </c>
      <c r="C73" s="96" t="s">
        <v>321</v>
      </c>
      <c r="D73" s="96" t="s">
        <v>338</v>
      </c>
      <c r="E73" s="102" t="s">
        <v>252</v>
      </c>
      <c r="F73" s="102" t="s">
        <v>339</v>
      </c>
      <c r="G73" s="92" t="s">
        <v>334</v>
      </c>
      <c r="H73" s="92" t="s">
        <v>226</v>
      </c>
      <c r="I73" s="93">
        <v>17641.900000000001</v>
      </c>
      <c r="J73" s="95" t="s">
        <v>23</v>
      </c>
      <c r="K73" s="95" t="s">
        <v>23</v>
      </c>
      <c r="L73" s="103" t="s">
        <v>23</v>
      </c>
      <c r="M73" s="91" t="s">
        <v>1223</v>
      </c>
      <c r="N73" s="91" t="s">
        <v>327</v>
      </c>
    </row>
    <row r="74" spans="1:14" ht="270">
      <c r="A74" s="90" t="s">
        <v>340</v>
      </c>
      <c r="B74" s="91" t="s">
        <v>331</v>
      </c>
      <c r="C74" s="96" t="s">
        <v>321</v>
      </c>
      <c r="D74" s="96" t="s">
        <v>338</v>
      </c>
      <c r="E74" s="102" t="s">
        <v>252</v>
      </c>
      <c r="F74" s="102" t="s">
        <v>341</v>
      </c>
      <c r="G74" s="92" t="s">
        <v>334</v>
      </c>
      <c r="H74" s="92" t="s">
        <v>226</v>
      </c>
      <c r="I74" s="93">
        <v>64820.6</v>
      </c>
      <c r="J74" s="126" t="s">
        <v>23</v>
      </c>
      <c r="K74" s="93" t="s">
        <v>23</v>
      </c>
      <c r="L74" s="103" t="s">
        <v>23</v>
      </c>
      <c r="M74" s="91" t="s">
        <v>1223</v>
      </c>
      <c r="N74" s="91" t="s">
        <v>327</v>
      </c>
    </row>
    <row r="75" spans="1:14" ht="270">
      <c r="A75" s="105" t="s">
        <v>342</v>
      </c>
      <c r="B75" s="122" t="s">
        <v>331</v>
      </c>
      <c r="C75" s="91" t="s">
        <v>321</v>
      </c>
      <c r="D75" s="91" t="s">
        <v>343</v>
      </c>
      <c r="E75" s="92" t="s">
        <v>252</v>
      </c>
      <c r="F75" s="92" t="s">
        <v>344</v>
      </c>
      <c r="G75" s="92" t="s">
        <v>345</v>
      </c>
      <c r="H75" s="92" t="s">
        <v>346</v>
      </c>
      <c r="I75" s="93">
        <v>17641.900000000001</v>
      </c>
      <c r="J75" s="93" t="s">
        <v>23</v>
      </c>
      <c r="K75" s="93" t="s">
        <v>23</v>
      </c>
      <c r="L75" s="103" t="s">
        <v>23</v>
      </c>
      <c r="M75" s="91" t="s">
        <v>1224</v>
      </c>
      <c r="N75" s="91" t="s">
        <v>327</v>
      </c>
    </row>
    <row r="76" spans="1:14" ht="270">
      <c r="A76" s="105" t="s">
        <v>347</v>
      </c>
      <c r="B76" s="122" t="s">
        <v>331</v>
      </c>
      <c r="C76" s="91" t="s">
        <v>321</v>
      </c>
      <c r="D76" s="91" t="s">
        <v>343</v>
      </c>
      <c r="E76" s="92" t="s">
        <v>252</v>
      </c>
      <c r="F76" s="92" t="s">
        <v>348</v>
      </c>
      <c r="G76" s="92" t="s">
        <v>345</v>
      </c>
      <c r="H76" s="92" t="s">
        <v>346</v>
      </c>
      <c r="I76" s="98">
        <v>64820.6</v>
      </c>
      <c r="J76" s="93" t="s">
        <v>23</v>
      </c>
      <c r="K76" s="93" t="s">
        <v>23</v>
      </c>
      <c r="L76" s="103" t="s">
        <v>23</v>
      </c>
      <c r="M76" s="91" t="s">
        <v>1224</v>
      </c>
      <c r="N76" s="91" t="s">
        <v>327</v>
      </c>
    </row>
    <row r="77" spans="1:14" ht="168.75">
      <c r="A77" s="91" t="s">
        <v>349</v>
      </c>
      <c r="B77" s="91" t="s">
        <v>1229</v>
      </c>
      <c r="C77" s="91" t="s">
        <v>350</v>
      </c>
      <c r="D77" s="91" t="s">
        <v>351</v>
      </c>
      <c r="E77" s="92" t="s">
        <v>252</v>
      </c>
      <c r="F77" s="92" t="s">
        <v>352</v>
      </c>
      <c r="G77" s="92" t="s">
        <v>86</v>
      </c>
      <c r="H77" s="92" t="s">
        <v>87</v>
      </c>
      <c r="I77" s="98">
        <v>33996.199999999997</v>
      </c>
      <c r="J77" s="93" t="s">
        <v>23</v>
      </c>
      <c r="K77" s="93" t="s">
        <v>23</v>
      </c>
      <c r="L77" s="103" t="s">
        <v>23</v>
      </c>
      <c r="M77" s="91" t="s">
        <v>353</v>
      </c>
      <c r="N77" s="91" t="s">
        <v>354</v>
      </c>
    </row>
    <row r="78" spans="1:14" ht="146.25">
      <c r="A78" s="91" t="s">
        <v>355</v>
      </c>
      <c r="B78" s="91" t="s">
        <v>1252</v>
      </c>
      <c r="C78" s="91" t="s">
        <v>356</v>
      </c>
      <c r="D78" s="91" t="s">
        <v>357</v>
      </c>
      <c r="E78" s="92" t="s">
        <v>151</v>
      </c>
      <c r="F78" s="92" t="s">
        <v>358</v>
      </c>
      <c r="G78" s="92" t="s">
        <v>359</v>
      </c>
      <c r="H78" s="92" t="s">
        <v>194</v>
      </c>
      <c r="I78" s="93">
        <v>310995.90000000002</v>
      </c>
      <c r="J78" s="93" t="s">
        <v>23</v>
      </c>
      <c r="K78" s="93" t="s">
        <v>23</v>
      </c>
      <c r="L78" s="103" t="s">
        <v>23</v>
      </c>
      <c r="M78" s="91" t="s">
        <v>360</v>
      </c>
      <c r="N78" s="91" t="s">
        <v>361</v>
      </c>
    </row>
    <row r="79" spans="1:14" s="133" customFormat="1" ht="180">
      <c r="A79" s="104" t="s">
        <v>362</v>
      </c>
      <c r="B79" s="104" t="s">
        <v>363</v>
      </c>
      <c r="C79" s="91" t="s">
        <v>364</v>
      </c>
      <c r="D79" s="104" t="s">
        <v>365</v>
      </c>
      <c r="E79" s="92" t="s">
        <v>252</v>
      </c>
      <c r="F79" s="92" t="s">
        <v>366</v>
      </c>
      <c r="G79" s="92" t="s">
        <v>367</v>
      </c>
      <c r="H79" s="92" t="s">
        <v>265</v>
      </c>
      <c r="I79" s="98">
        <v>226050.5</v>
      </c>
      <c r="J79" s="92" t="s">
        <v>23</v>
      </c>
      <c r="K79" s="97" t="s">
        <v>23</v>
      </c>
      <c r="L79" s="29" t="s">
        <v>23</v>
      </c>
      <c r="M79" s="115" t="s">
        <v>368</v>
      </c>
      <c r="N79" s="91" t="s">
        <v>1175</v>
      </c>
    </row>
    <row r="80" spans="1:14" s="133" customFormat="1" ht="123.75">
      <c r="A80" s="104" t="s">
        <v>369</v>
      </c>
      <c r="B80" s="104" t="s">
        <v>370</v>
      </c>
      <c r="C80" s="91" t="s">
        <v>371</v>
      </c>
      <c r="D80" s="104" t="s">
        <v>372</v>
      </c>
      <c r="E80" s="92" t="s">
        <v>151</v>
      </c>
      <c r="F80" s="92" t="s">
        <v>373</v>
      </c>
      <c r="G80" s="92" t="s">
        <v>374</v>
      </c>
      <c r="H80" s="92" t="s">
        <v>265</v>
      </c>
      <c r="I80" s="98">
        <v>160143.6</v>
      </c>
      <c r="J80" s="92" t="s">
        <v>23</v>
      </c>
      <c r="K80" s="97" t="s">
        <v>23</v>
      </c>
      <c r="L80" s="29" t="s">
        <v>23</v>
      </c>
      <c r="M80" s="115" t="s">
        <v>375</v>
      </c>
      <c r="N80" s="91" t="s">
        <v>376</v>
      </c>
    </row>
    <row r="81" spans="1:14" s="133" customFormat="1" ht="123.75">
      <c r="A81" s="104" t="s">
        <v>377</v>
      </c>
      <c r="B81" s="104" t="s">
        <v>370</v>
      </c>
      <c r="C81" s="91" t="s">
        <v>371</v>
      </c>
      <c r="D81" s="104" t="s">
        <v>372</v>
      </c>
      <c r="E81" s="92" t="s">
        <v>151</v>
      </c>
      <c r="F81" s="92" t="s">
        <v>378</v>
      </c>
      <c r="G81" s="92" t="s">
        <v>374</v>
      </c>
      <c r="H81" s="92" t="s">
        <v>265</v>
      </c>
      <c r="I81" s="98">
        <v>256460.2</v>
      </c>
      <c r="J81" s="92" t="s">
        <v>23</v>
      </c>
      <c r="K81" s="97" t="s">
        <v>23</v>
      </c>
      <c r="L81" s="29" t="s">
        <v>23</v>
      </c>
      <c r="M81" s="115" t="s">
        <v>375</v>
      </c>
      <c r="N81" s="91" t="s">
        <v>376</v>
      </c>
    </row>
    <row r="82" spans="1:14" s="133" customFormat="1" ht="303.75">
      <c r="A82" s="104" t="s">
        <v>379</v>
      </c>
      <c r="B82" s="104" t="s">
        <v>380</v>
      </c>
      <c r="C82" s="91" t="s">
        <v>381</v>
      </c>
      <c r="D82" s="104" t="s">
        <v>382</v>
      </c>
      <c r="E82" s="92" t="s">
        <v>252</v>
      </c>
      <c r="F82" s="92" t="s">
        <v>383</v>
      </c>
      <c r="G82" s="92" t="s">
        <v>271</v>
      </c>
      <c r="H82" s="92" t="s">
        <v>265</v>
      </c>
      <c r="I82" s="98">
        <v>135492.70000000001</v>
      </c>
      <c r="J82" s="92" t="s">
        <v>23</v>
      </c>
      <c r="K82" s="97" t="s">
        <v>23</v>
      </c>
      <c r="L82" s="29" t="s">
        <v>23</v>
      </c>
      <c r="M82" s="115" t="s">
        <v>384</v>
      </c>
      <c r="N82" s="91" t="s">
        <v>385</v>
      </c>
    </row>
    <row r="83" spans="1:14" ht="360">
      <c r="A83" s="77" t="s">
        <v>386</v>
      </c>
      <c r="B83" s="78" t="s">
        <v>387</v>
      </c>
      <c r="C83" s="36" t="s">
        <v>388</v>
      </c>
      <c r="D83" s="36" t="s">
        <v>389</v>
      </c>
      <c r="E83" s="37" t="s">
        <v>390</v>
      </c>
      <c r="F83" s="37" t="s">
        <v>333</v>
      </c>
      <c r="G83" s="92" t="s">
        <v>391</v>
      </c>
      <c r="H83" s="101" t="s">
        <v>114</v>
      </c>
      <c r="I83" s="98">
        <v>290775.09999999998</v>
      </c>
      <c r="J83" s="93" t="s">
        <v>23</v>
      </c>
      <c r="K83" s="92" t="s">
        <v>23</v>
      </c>
      <c r="L83" s="38" t="s">
        <v>23</v>
      </c>
      <c r="M83" s="91" t="s">
        <v>392</v>
      </c>
      <c r="N83" s="111" t="s">
        <v>393</v>
      </c>
    </row>
    <row r="84" spans="1:14" ht="292.5">
      <c r="A84" s="90" t="s">
        <v>394</v>
      </c>
      <c r="B84" s="104" t="s">
        <v>395</v>
      </c>
      <c r="C84" s="6" t="s">
        <v>396</v>
      </c>
      <c r="D84" s="6" t="s">
        <v>397</v>
      </c>
      <c r="E84" s="13" t="s">
        <v>398</v>
      </c>
      <c r="F84" s="13" t="s">
        <v>399</v>
      </c>
      <c r="G84" s="92" t="s">
        <v>264</v>
      </c>
      <c r="H84" s="92" t="s">
        <v>265</v>
      </c>
      <c r="I84" s="93">
        <v>387070.5</v>
      </c>
      <c r="J84" s="95" t="s">
        <v>23</v>
      </c>
      <c r="K84" s="95" t="s">
        <v>23</v>
      </c>
      <c r="L84" s="67" t="s">
        <v>23</v>
      </c>
      <c r="M84" s="91" t="s">
        <v>400</v>
      </c>
      <c r="N84" s="91" t="s">
        <v>401</v>
      </c>
    </row>
    <row r="85" spans="1:14" ht="101.25">
      <c r="A85" s="90">
        <v>1039398</v>
      </c>
      <c r="B85" s="91" t="s">
        <v>402</v>
      </c>
      <c r="C85" s="91" t="s">
        <v>403</v>
      </c>
      <c r="D85" s="91" t="s">
        <v>404</v>
      </c>
      <c r="E85" s="92" t="s">
        <v>33</v>
      </c>
      <c r="F85" s="92" t="s">
        <v>405</v>
      </c>
      <c r="G85" s="92" t="s">
        <v>406</v>
      </c>
      <c r="H85" s="92" t="s">
        <v>276</v>
      </c>
      <c r="I85" s="98">
        <v>140575.9</v>
      </c>
      <c r="J85" s="97" t="s">
        <v>407</v>
      </c>
      <c r="K85" s="93">
        <f t="shared" ref="K85:K89" si="0">(I85/30)/250*250</f>
        <v>4685.8633333333328</v>
      </c>
      <c r="L85" s="103" t="s">
        <v>23</v>
      </c>
      <c r="M85" s="91" t="s">
        <v>408</v>
      </c>
      <c r="N85" s="111" t="s">
        <v>409</v>
      </c>
    </row>
    <row r="86" spans="1:14" s="133" customFormat="1" ht="101.25">
      <c r="A86" s="105" t="s">
        <v>410</v>
      </c>
      <c r="B86" s="104" t="s">
        <v>425</v>
      </c>
      <c r="C86" s="122" t="s">
        <v>403</v>
      </c>
      <c r="D86" s="122" t="s">
        <v>411</v>
      </c>
      <c r="E86" s="39" t="s">
        <v>33</v>
      </c>
      <c r="F86" s="39" t="s">
        <v>412</v>
      </c>
      <c r="G86" s="39" t="s">
        <v>413</v>
      </c>
      <c r="H86" s="39" t="s">
        <v>414</v>
      </c>
      <c r="I86" s="93">
        <v>74964.3</v>
      </c>
      <c r="J86" s="97" t="s">
        <v>407</v>
      </c>
      <c r="K86" s="93">
        <f t="shared" si="0"/>
        <v>2498.81</v>
      </c>
      <c r="L86" s="101" t="s">
        <v>23</v>
      </c>
      <c r="M86" s="91" t="s">
        <v>408</v>
      </c>
      <c r="N86" s="111" t="s">
        <v>409</v>
      </c>
    </row>
    <row r="87" spans="1:14" s="133" customFormat="1" ht="101.25">
      <c r="A87" s="100" t="s">
        <v>415</v>
      </c>
      <c r="B87" s="91" t="s">
        <v>425</v>
      </c>
      <c r="C87" s="91" t="s">
        <v>403</v>
      </c>
      <c r="D87" s="112" t="s">
        <v>416</v>
      </c>
      <c r="E87" s="92" t="s">
        <v>33</v>
      </c>
      <c r="F87" s="92" t="s">
        <v>427</v>
      </c>
      <c r="G87" s="92" t="s">
        <v>1227</v>
      </c>
      <c r="H87" s="92" t="s">
        <v>1228</v>
      </c>
      <c r="I87" s="93">
        <v>74964.3</v>
      </c>
      <c r="J87" s="97" t="s">
        <v>407</v>
      </c>
      <c r="K87" s="93">
        <f t="shared" si="0"/>
        <v>2498.81</v>
      </c>
      <c r="L87" s="101" t="s">
        <v>23</v>
      </c>
      <c r="M87" s="91" t="s">
        <v>408</v>
      </c>
      <c r="N87" s="111" t="s">
        <v>409</v>
      </c>
    </row>
    <row r="88" spans="1:14" s="133" customFormat="1" ht="101.25">
      <c r="A88" s="105" t="s">
        <v>417</v>
      </c>
      <c r="B88" s="105" t="s">
        <v>402</v>
      </c>
      <c r="C88" s="96" t="s">
        <v>403</v>
      </c>
      <c r="D88" s="96" t="s">
        <v>418</v>
      </c>
      <c r="E88" s="102" t="s">
        <v>33</v>
      </c>
      <c r="F88" s="102" t="s">
        <v>412</v>
      </c>
      <c r="G88" s="92" t="s">
        <v>419</v>
      </c>
      <c r="H88" s="92" t="s">
        <v>226</v>
      </c>
      <c r="I88" s="93">
        <v>74964.3</v>
      </c>
      <c r="J88" s="97" t="s">
        <v>407</v>
      </c>
      <c r="K88" s="93">
        <f t="shared" si="0"/>
        <v>2498.81</v>
      </c>
      <c r="L88" s="101" t="s">
        <v>23</v>
      </c>
      <c r="M88" s="91" t="s">
        <v>408</v>
      </c>
      <c r="N88" s="111" t="s">
        <v>409</v>
      </c>
    </row>
    <row r="89" spans="1:14" s="133" customFormat="1" ht="101.25">
      <c r="A89" s="105" t="s">
        <v>420</v>
      </c>
      <c r="B89" s="105" t="s">
        <v>425</v>
      </c>
      <c r="C89" s="96" t="s">
        <v>403</v>
      </c>
      <c r="D89" s="96" t="s">
        <v>421</v>
      </c>
      <c r="E89" s="102" t="s">
        <v>33</v>
      </c>
      <c r="F89" s="102" t="s">
        <v>412</v>
      </c>
      <c r="G89" s="92" t="s">
        <v>422</v>
      </c>
      <c r="H89" s="92" t="s">
        <v>423</v>
      </c>
      <c r="I89" s="93">
        <v>74964.3</v>
      </c>
      <c r="J89" s="97" t="s">
        <v>407</v>
      </c>
      <c r="K89" s="93">
        <f t="shared" si="0"/>
        <v>2498.81</v>
      </c>
      <c r="L89" s="101" t="s">
        <v>23</v>
      </c>
      <c r="M89" s="91" t="s">
        <v>408</v>
      </c>
      <c r="N89" s="111" t="s">
        <v>409</v>
      </c>
    </row>
    <row r="90" spans="1:14" s="133" customFormat="1" ht="101.25">
      <c r="A90" s="90" t="s">
        <v>424</v>
      </c>
      <c r="B90" s="96" t="s">
        <v>425</v>
      </c>
      <c r="C90" s="91" t="s">
        <v>403</v>
      </c>
      <c r="D90" s="91" t="s">
        <v>426</v>
      </c>
      <c r="E90" s="114" t="s">
        <v>33</v>
      </c>
      <c r="F90" s="114" t="s">
        <v>427</v>
      </c>
      <c r="G90" s="114" t="s">
        <v>428</v>
      </c>
      <c r="H90" s="114" t="s">
        <v>429</v>
      </c>
      <c r="I90" s="93">
        <v>74964.3</v>
      </c>
      <c r="J90" s="93" t="s">
        <v>407</v>
      </c>
      <c r="K90" s="93">
        <f>+(I90/30)/250*250</f>
        <v>2498.81</v>
      </c>
      <c r="L90" s="101" t="s">
        <v>23</v>
      </c>
      <c r="M90" s="91" t="s">
        <v>408</v>
      </c>
      <c r="N90" s="111" t="s">
        <v>409</v>
      </c>
    </row>
    <row r="91" spans="1:14" s="133" customFormat="1" ht="101.25">
      <c r="A91" s="105" t="s">
        <v>430</v>
      </c>
      <c r="B91" s="105" t="s">
        <v>425</v>
      </c>
      <c r="C91" s="96" t="s">
        <v>403</v>
      </c>
      <c r="D91" s="96" t="s">
        <v>431</v>
      </c>
      <c r="E91" s="102" t="s">
        <v>33</v>
      </c>
      <c r="F91" s="102" t="s">
        <v>412</v>
      </c>
      <c r="G91" s="92" t="s">
        <v>432</v>
      </c>
      <c r="H91" s="92" t="s">
        <v>433</v>
      </c>
      <c r="I91" s="93">
        <v>74964.3</v>
      </c>
      <c r="J91" s="97" t="s">
        <v>407</v>
      </c>
      <c r="K91" s="93">
        <f>+(I91/30)/250*250</f>
        <v>2498.81</v>
      </c>
      <c r="L91" s="101" t="s">
        <v>23</v>
      </c>
      <c r="M91" s="91" t="s">
        <v>408</v>
      </c>
      <c r="N91" s="111" t="s">
        <v>409</v>
      </c>
    </row>
    <row r="92" spans="1:14" s="133" customFormat="1" ht="101.25">
      <c r="A92" s="90" t="s">
        <v>1213</v>
      </c>
      <c r="B92" s="90" t="s">
        <v>425</v>
      </c>
      <c r="C92" s="40" t="s">
        <v>403</v>
      </c>
      <c r="D92" s="40" t="s">
        <v>1207</v>
      </c>
      <c r="E92" s="41" t="s">
        <v>33</v>
      </c>
      <c r="F92" s="102" t="s">
        <v>412</v>
      </c>
      <c r="G92" s="41" t="s">
        <v>1205</v>
      </c>
      <c r="H92" s="41" t="s">
        <v>1206</v>
      </c>
      <c r="I92" s="93">
        <v>74964.3</v>
      </c>
      <c r="J92" s="97" t="s">
        <v>407</v>
      </c>
      <c r="K92" s="93">
        <f>+(I92/30)/250*250</f>
        <v>2498.81</v>
      </c>
      <c r="L92" s="101" t="s">
        <v>23</v>
      </c>
      <c r="M92" s="91" t="s">
        <v>408</v>
      </c>
      <c r="N92" s="111" t="s">
        <v>409</v>
      </c>
    </row>
    <row r="93" spans="1:14" s="133" customFormat="1" ht="101.25">
      <c r="A93" s="90" t="s">
        <v>1277</v>
      </c>
      <c r="B93" s="90" t="s">
        <v>425</v>
      </c>
      <c r="C93" s="40" t="s">
        <v>403</v>
      </c>
      <c r="D93" s="40" t="s">
        <v>1278</v>
      </c>
      <c r="E93" s="41" t="s">
        <v>33</v>
      </c>
      <c r="F93" s="102" t="s">
        <v>412</v>
      </c>
      <c r="G93" s="41" t="s">
        <v>1279</v>
      </c>
      <c r="H93" s="41" t="s">
        <v>433</v>
      </c>
      <c r="I93" s="93">
        <v>74964.3</v>
      </c>
      <c r="J93" s="97" t="s">
        <v>407</v>
      </c>
      <c r="K93" s="93">
        <f>+(I93/30)/250*250</f>
        <v>2498.81</v>
      </c>
      <c r="L93" s="101" t="s">
        <v>23</v>
      </c>
      <c r="M93" s="91" t="s">
        <v>408</v>
      </c>
      <c r="N93" s="111" t="s">
        <v>409</v>
      </c>
    </row>
    <row r="94" spans="1:14" ht="101.25">
      <c r="A94" s="116" t="s">
        <v>441</v>
      </c>
      <c r="B94" s="96" t="s">
        <v>462</v>
      </c>
      <c r="C94" s="113" t="s">
        <v>435</v>
      </c>
      <c r="D94" s="113" t="s">
        <v>442</v>
      </c>
      <c r="E94" s="114" t="s">
        <v>33</v>
      </c>
      <c r="F94" s="114" t="s">
        <v>436</v>
      </c>
      <c r="G94" s="114" t="s">
        <v>443</v>
      </c>
      <c r="H94" s="114" t="s">
        <v>433</v>
      </c>
      <c r="I94" s="98">
        <v>14820.2</v>
      </c>
      <c r="J94" s="93" t="s">
        <v>437</v>
      </c>
      <c r="K94" s="93">
        <f>(I94/30)/25*150</f>
        <v>2964.0400000000004</v>
      </c>
      <c r="L94" s="121" t="s">
        <v>23</v>
      </c>
      <c r="M94" s="113" t="s">
        <v>438</v>
      </c>
      <c r="N94" s="91" t="s">
        <v>409</v>
      </c>
    </row>
    <row r="95" spans="1:14" ht="101.25">
      <c r="A95" s="90" t="s">
        <v>444</v>
      </c>
      <c r="B95" s="96" t="s">
        <v>462</v>
      </c>
      <c r="C95" s="91" t="s">
        <v>435</v>
      </c>
      <c r="D95" s="91" t="s">
        <v>442</v>
      </c>
      <c r="E95" s="92" t="s">
        <v>33</v>
      </c>
      <c r="F95" s="92" t="s">
        <v>439</v>
      </c>
      <c r="G95" s="92" t="s">
        <v>443</v>
      </c>
      <c r="H95" s="92" t="s">
        <v>433</v>
      </c>
      <c r="I95" s="93">
        <v>50500</v>
      </c>
      <c r="J95" s="93" t="s">
        <v>437</v>
      </c>
      <c r="K95" s="93">
        <f>(I95/30)/100*150</f>
        <v>2525</v>
      </c>
      <c r="L95" s="95" t="s">
        <v>23</v>
      </c>
      <c r="M95" s="113" t="s">
        <v>438</v>
      </c>
      <c r="N95" s="91" t="s">
        <v>409</v>
      </c>
    </row>
    <row r="96" spans="1:14" ht="101.25">
      <c r="A96" s="90" t="s">
        <v>445</v>
      </c>
      <c r="B96" s="96" t="s">
        <v>462</v>
      </c>
      <c r="C96" s="91" t="s">
        <v>435</v>
      </c>
      <c r="D96" s="91" t="s">
        <v>442</v>
      </c>
      <c r="E96" s="92" t="s">
        <v>33</v>
      </c>
      <c r="F96" s="92" t="s">
        <v>440</v>
      </c>
      <c r="G96" s="92" t="s">
        <v>443</v>
      </c>
      <c r="H96" s="92" t="s">
        <v>433</v>
      </c>
      <c r="I96" s="93">
        <v>72500</v>
      </c>
      <c r="J96" s="93" t="s">
        <v>437</v>
      </c>
      <c r="K96" s="93">
        <f>(I96/30)/150*150</f>
        <v>2416.6666666666665</v>
      </c>
      <c r="L96" s="95" t="s">
        <v>23</v>
      </c>
      <c r="M96" s="113" t="s">
        <v>438</v>
      </c>
      <c r="N96" s="91" t="s">
        <v>409</v>
      </c>
    </row>
    <row r="97" spans="1:14" ht="101.25">
      <c r="A97" s="90" t="s">
        <v>446</v>
      </c>
      <c r="B97" s="91" t="s">
        <v>434</v>
      </c>
      <c r="C97" s="91" t="s">
        <v>435</v>
      </c>
      <c r="D97" s="91" t="s">
        <v>447</v>
      </c>
      <c r="E97" s="92" t="s">
        <v>33</v>
      </c>
      <c r="F97" s="92" t="s">
        <v>436</v>
      </c>
      <c r="G97" s="92" t="s">
        <v>448</v>
      </c>
      <c r="H97" s="92" t="s">
        <v>449</v>
      </c>
      <c r="I97" s="98">
        <v>14820.2</v>
      </c>
      <c r="J97" s="93" t="s">
        <v>437</v>
      </c>
      <c r="K97" s="93">
        <f>(I97/30)/25*150</f>
        <v>2964.0400000000004</v>
      </c>
      <c r="L97" s="121" t="s">
        <v>23</v>
      </c>
      <c r="M97" s="113" t="s">
        <v>438</v>
      </c>
      <c r="N97" s="91" t="s">
        <v>409</v>
      </c>
    </row>
    <row r="98" spans="1:14" ht="101.25">
      <c r="A98" s="90" t="s">
        <v>450</v>
      </c>
      <c r="B98" s="91" t="s">
        <v>434</v>
      </c>
      <c r="C98" s="91" t="s">
        <v>435</v>
      </c>
      <c r="D98" s="91" t="s">
        <v>447</v>
      </c>
      <c r="E98" s="92" t="s">
        <v>33</v>
      </c>
      <c r="F98" s="92" t="s">
        <v>439</v>
      </c>
      <c r="G98" s="92" t="s">
        <v>448</v>
      </c>
      <c r="H98" s="92" t="s">
        <v>449</v>
      </c>
      <c r="I98" s="98">
        <v>50500</v>
      </c>
      <c r="J98" s="93" t="s">
        <v>437</v>
      </c>
      <c r="K98" s="93">
        <f>(I98/30)/100*150</f>
        <v>2525</v>
      </c>
      <c r="L98" s="95" t="s">
        <v>23</v>
      </c>
      <c r="M98" s="113" t="s">
        <v>438</v>
      </c>
      <c r="N98" s="91" t="s">
        <v>409</v>
      </c>
    </row>
    <row r="99" spans="1:14" ht="101.25">
      <c r="A99" s="90" t="s">
        <v>451</v>
      </c>
      <c r="B99" s="91" t="s">
        <v>434</v>
      </c>
      <c r="C99" s="91" t="s">
        <v>435</v>
      </c>
      <c r="D99" s="91" t="s">
        <v>447</v>
      </c>
      <c r="E99" s="92" t="s">
        <v>33</v>
      </c>
      <c r="F99" s="92" t="s">
        <v>440</v>
      </c>
      <c r="G99" s="92" t="s">
        <v>448</v>
      </c>
      <c r="H99" s="92" t="s">
        <v>449</v>
      </c>
      <c r="I99" s="98">
        <v>72500</v>
      </c>
      <c r="J99" s="93" t="s">
        <v>437</v>
      </c>
      <c r="K99" s="93">
        <f>(I99/30)/150*150</f>
        <v>2416.6666666666665</v>
      </c>
      <c r="L99" s="95" t="s">
        <v>23</v>
      </c>
      <c r="M99" s="113" t="s">
        <v>438</v>
      </c>
      <c r="N99" s="91" t="s">
        <v>409</v>
      </c>
    </row>
    <row r="100" spans="1:14" s="133" customFormat="1" ht="101.25">
      <c r="A100" s="100" t="s">
        <v>452</v>
      </c>
      <c r="B100" s="96" t="s">
        <v>462</v>
      </c>
      <c r="C100" s="91" t="s">
        <v>435</v>
      </c>
      <c r="D100" s="112" t="s">
        <v>453</v>
      </c>
      <c r="E100" s="92" t="s">
        <v>33</v>
      </c>
      <c r="F100" s="92" t="s">
        <v>436</v>
      </c>
      <c r="G100" s="92" t="s">
        <v>432</v>
      </c>
      <c r="H100" s="92" t="s">
        <v>433</v>
      </c>
      <c r="I100" s="98">
        <v>14820.2</v>
      </c>
      <c r="J100" s="93" t="s">
        <v>437</v>
      </c>
      <c r="K100" s="93">
        <f>(I100/30)/25*150</f>
        <v>2964.0400000000004</v>
      </c>
      <c r="L100" s="101" t="s">
        <v>23</v>
      </c>
      <c r="M100" s="91" t="s">
        <v>438</v>
      </c>
      <c r="N100" s="91" t="s">
        <v>409</v>
      </c>
    </row>
    <row r="101" spans="1:14" s="133" customFormat="1" ht="101.25">
      <c r="A101" s="100" t="s">
        <v>454</v>
      </c>
      <c r="B101" s="96" t="s">
        <v>462</v>
      </c>
      <c r="C101" s="91" t="s">
        <v>435</v>
      </c>
      <c r="D101" s="112" t="s">
        <v>453</v>
      </c>
      <c r="E101" s="92" t="s">
        <v>33</v>
      </c>
      <c r="F101" s="92" t="s">
        <v>439</v>
      </c>
      <c r="G101" s="92" t="s">
        <v>432</v>
      </c>
      <c r="H101" s="92" t="s">
        <v>433</v>
      </c>
      <c r="I101" s="93">
        <v>50500</v>
      </c>
      <c r="J101" s="93" t="s">
        <v>437</v>
      </c>
      <c r="K101" s="93">
        <f>(I101/30)/100*150</f>
        <v>2525</v>
      </c>
      <c r="L101" s="101" t="s">
        <v>23</v>
      </c>
      <c r="M101" s="91" t="s">
        <v>438</v>
      </c>
      <c r="N101" s="91" t="s">
        <v>409</v>
      </c>
    </row>
    <row r="102" spans="1:14" s="133" customFormat="1" ht="101.25">
      <c r="A102" s="100" t="s">
        <v>455</v>
      </c>
      <c r="B102" s="96" t="s">
        <v>462</v>
      </c>
      <c r="C102" s="91" t="s">
        <v>435</v>
      </c>
      <c r="D102" s="112" t="s">
        <v>453</v>
      </c>
      <c r="E102" s="92" t="s">
        <v>33</v>
      </c>
      <c r="F102" s="92" t="s">
        <v>440</v>
      </c>
      <c r="G102" s="92" t="s">
        <v>432</v>
      </c>
      <c r="H102" s="92" t="s">
        <v>433</v>
      </c>
      <c r="I102" s="93">
        <v>72500</v>
      </c>
      <c r="J102" s="93" t="s">
        <v>437</v>
      </c>
      <c r="K102" s="93">
        <f>(I102/30)/150*150</f>
        <v>2416.6666666666665</v>
      </c>
      <c r="L102" s="101" t="s">
        <v>23</v>
      </c>
      <c r="M102" s="91" t="s">
        <v>438</v>
      </c>
      <c r="N102" s="91" t="s">
        <v>409</v>
      </c>
    </row>
    <row r="103" spans="1:14" s="133" customFormat="1" ht="101.25">
      <c r="A103" s="100" t="s">
        <v>456</v>
      </c>
      <c r="B103" s="96" t="s">
        <v>434</v>
      </c>
      <c r="C103" s="91" t="s">
        <v>435</v>
      </c>
      <c r="D103" s="91" t="s">
        <v>457</v>
      </c>
      <c r="E103" s="102" t="s">
        <v>33</v>
      </c>
      <c r="F103" s="92" t="s">
        <v>439</v>
      </c>
      <c r="G103" s="92" t="s">
        <v>458</v>
      </c>
      <c r="H103" s="92" t="s">
        <v>459</v>
      </c>
      <c r="I103" s="93">
        <v>45969.599999999999</v>
      </c>
      <c r="J103" s="93" t="s">
        <v>437</v>
      </c>
      <c r="K103" s="93">
        <f>(I103/30)/100*150</f>
        <v>2298.48</v>
      </c>
      <c r="L103" s="97" t="s">
        <v>23</v>
      </c>
      <c r="M103" s="91" t="s">
        <v>438</v>
      </c>
      <c r="N103" s="91" t="s">
        <v>409</v>
      </c>
    </row>
    <row r="104" spans="1:14" s="133" customFormat="1" ht="101.25">
      <c r="A104" s="100" t="s">
        <v>460</v>
      </c>
      <c r="B104" s="96" t="s">
        <v>434</v>
      </c>
      <c r="C104" s="91" t="s">
        <v>435</v>
      </c>
      <c r="D104" s="91" t="s">
        <v>457</v>
      </c>
      <c r="E104" s="102" t="s">
        <v>33</v>
      </c>
      <c r="F104" s="92" t="s">
        <v>440</v>
      </c>
      <c r="G104" s="92" t="s">
        <v>458</v>
      </c>
      <c r="H104" s="92" t="s">
        <v>459</v>
      </c>
      <c r="I104" s="93">
        <v>59624.3</v>
      </c>
      <c r="J104" s="93" t="s">
        <v>437</v>
      </c>
      <c r="K104" s="93">
        <f>(I104/30)/150*150</f>
        <v>1987.4766666666667</v>
      </c>
      <c r="L104" s="97" t="s">
        <v>23</v>
      </c>
      <c r="M104" s="91" t="s">
        <v>438</v>
      </c>
      <c r="N104" s="91" t="s">
        <v>409</v>
      </c>
    </row>
    <row r="105" spans="1:14" s="133" customFormat="1" ht="101.25">
      <c r="A105" s="90" t="s">
        <v>461</v>
      </c>
      <c r="B105" s="96" t="s">
        <v>462</v>
      </c>
      <c r="C105" s="91" t="s">
        <v>435</v>
      </c>
      <c r="D105" s="91" t="s">
        <v>463</v>
      </c>
      <c r="E105" s="114" t="s">
        <v>33</v>
      </c>
      <c r="F105" s="114" t="s">
        <v>439</v>
      </c>
      <c r="G105" s="114" t="s">
        <v>428</v>
      </c>
      <c r="H105" s="114" t="s">
        <v>429</v>
      </c>
      <c r="I105" s="93">
        <v>45969.599999999999</v>
      </c>
      <c r="J105" s="93" t="s">
        <v>464</v>
      </c>
      <c r="K105" s="93">
        <f>(I105/30)/100*150</f>
        <v>2298.48</v>
      </c>
      <c r="L105" s="42" t="s">
        <v>23</v>
      </c>
      <c r="M105" s="91" t="s">
        <v>438</v>
      </c>
      <c r="N105" s="91" t="s">
        <v>409</v>
      </c>
    </row>
    <row r="106" spans="1:14" s="133" customFormat="1" ht="101.25">
      <c r="A106" s="90" t="s">
        <v>465</v>
      </c>
      <c r="B106" s="96" t="s">
        <v>462</v>
      </c>
      <c r="C106" s="91" t="s">
        <v>435</v>
      </c>
      <c r="D106" s="91" t="s">
        <v>463</v>
      </c>
      <c r="E106" s="92" t="s">
        <v>33</v>
      </c>
      <c r="F106" s="92" t="s">
        <v>440</v>
      </c>
      <c r="G106" s="92" t="s">
        <v>428</v>
      </c>
      <c r="H106" s="92" t="s">
        <v>429</v>
      </c>
      <c r="I106" s="93">
        <v>59624.3</v>
      </c>
      <c r="J106" s="93" t="s">
        <v>464</v>
      </c>
      <c r="K106" s="93">
        <f>(I106/30)/150*150</f>
        <v>1987.4766666666667</v>
      </c>
      <c r="L106" s="42" t="s">
        <v>23</v>
      </c>
      <c r="M106" s="91" t="s">
        <v>438</v>
      </c>
      <c r="N106" s="91" t="s">
        <v>409</v>
      </c>
    </row>
    <row r="107" spans="1:14" s="133" customFormat="1" ht="101.25">
      <c r="A107" s="90" t="s">
        <v>466</v>
      </c>
      <c r="B107" s="96" t="s">
        <v>462</v>
      </c>
      <c r="C107" s="113" t="s">
        <v>435</v>
      </c>
      <c r="D107" s="91" t="s">
        <v>467</v>
      </c>
      <c r="E107" s="114" t="s">
        <v>33</v>
      </c>
      <c r="F107" s="114" t="s">
        <v>439</v>
      </c>
      <c r="G107" s="114" t="s">
        <v>468</v>
      </c>
      <c r="H107" s="114" t="s">
        <v>469</v>
      </c>
      <c r="I107" s="93">
        <v>45969.599999999999</v>
      </c>
      <c r="J107" s="93" t="s">
        <v>464</v>
      </c>
      <c r="K107" s="93">
        <f>(I107/30)/ 100*150</f>
        <v>2298.48</v>
      </c>
      <c r="L107" s="42" t="s">
        <v>23</v>
      </c>
      <c r="M107" s="91" t="s">
        <v>438</v>
      </c>
      <c r="N107" s="91" t="s">
        <v>409</v>
      </c>
    </row>
    <row r="108" spans="1:14" s="133" customFormat="1" ht="101.25">
      <c r="A108" s="90" t="s">
        <v>470</v>
      </c>
      <c r="B108" s="96" t="s">
        <v>462</v>
      </c>
      <c r="C108" s="91" t="s">
        <v>435</v>
      </c>
      <c r="D108" s="91" t="s">
        <v>467</v>
      </c>
      <c r="E108" s="92" t="s">
        <v>33</v>
      </c>
      <c r="F108" s="92" t="s">
        <v>440</v>
      </c>
      <c r="G108" s="92" t="s">
        <v>468</v>
      </c>
      <c r="H108" s="92" t="s">
        <v>469</v>
      </c>
      <c r="I108" s="93">
        <v>59624.3</v>
      </c>
      <c r="J108" s="93" t="s">
        <v>471</v>
      </c>
      <c r="K108" s="93">
        <f>(I108/30)/ 150*150</f>
        <v>1987.4766666666667</v>
      </c>
      <c r="L108" s="42" t="s">
        <v>23</v>
      </c>
      <c r="M108" s="91" t="s">
        <v>438</v>
      </c>
      <c r="N108" s="91" t="s">
        <v>409</v>
      </c>
    </row>
    <row r="109" spans="1:14" ht="112.5">
      <c r="A109" s="90" t="s">
        <v>472</v>
      </c>
      <c r="B109" s="91" t="s">
        <v>492</v>
      </c>
      <c r="C109" s="91" t="s">
        <v>474</v>
      </c>
      <c r="D109" s="91" t="s">
        <v>475</v>
      </c>
      <c r="E109" s="92" t="s">
        <v>235</v>
      </c>
      <c r="F109" s="92" t="s">
        <v>476</v>
      </c>
      <c r="G109" s="92" t="s">
        <v>477</v>
      </c>
      <c r="H109" s="92" t="s">
        <v>194</v>
      </c>
      <c r="I109" s="93">
        <v>49460.800000000003</v>
      </c>
      <c r="J109" s="93" t="s">
        <v>478</v>
      </c>
      <c r="K109" s="93">
        <f>(I109/28)/12.5*33</f>
        <v>4663.4468571428579</v>
      </c>
      <c r="L109" s="103" t="s">
        <v>23</v>
      </c>
      <c r="M109" s="110" t="s">
        <v>479</v>
      </c>
      <c r="N109" s="91" t="s">
        <v>1280</v>
      </c>
    </row>
    <row r="110" spans="1:14" ht="112.5">
      <c r="A110" s="90" t="s">
        <v>481</v>
      </c>
      <c r="B110" s="91" t="s">
        <v>492</v>
      </c>
      <c r="C110" s="91" t="s">
        <v>474</v>
      </c>
      <c r="D110" s="91" t="s">
        <v>475</v>
      </c>
      <c r="E110" s="92" t="s">
        <v>235</v>
      </c>
      <c r="F110" s="92" t="s">
        <v>482</v>
      </c>
      <c r="G110" s="92" t="s">
        <v>477</v>
      </c>
      <c r="H110" s="92" t="s">
        <v>194</v>
      </c>
      <c r="I110" s="99">
        <v>98865.9</v>
      </c>
      <c r="J110" s="93" t="s">
        <v>478</v>
      </c>
      <c r="K110" s="93">
        <f>(I110/28)/25*33</f>
        <v>4660.8209999999999</v>
      </c>
      <c r="L110" s="103" t="s">
        <v>23</v>
      </c>
      <c r="M110" s="110" t="s">
        <v>479</v>
      </c>
      <c r="N110" s="91" t="s">
        <v>1280</v>
      </c>
    </row>
    <row r="111" spans="1:14" ht="112.5">
      <c r="A111" s="90" t="s">
        <v>483</v>
      </c>
      <c r="B111" s="91" t="s">
        <v>492</v>
      </c>
      <c r="C111" s="91" t="s">
        <v>474</v>
      </c>
      <c r="D111" s="91" t="s">
        <v>475</v>
      </c>
      <c r="E111" s="92" t="s">
        <v>235</v>
      </c>
      <c r="F111" s="92" t="s">
        <v>484</v>
      </c>
      <c r="G111" s="92" t="s">
        <v>477</v>
      </c>
      <c r="H111" s="92" t="s">
        <v>194</v>
      </c>
      <c r="I111" s="93">
        <v>197677.2</v>
      </c>
      <c r="J111" s="93" t="s">
        <v>478</v>
      </c>
      <c r="K111" s="93">
        <f>(I111/28)/50*33</f>
        <v>4659.5340000000006</v>
      </c>
      <c r="L111" s="103" t="s">
        <v>23</v>
      </c>
      <c r="M111" s="110" t="s">
        <v>479</v>
      </c>
      <c r="N111" s="91" t="s">
        <v>1280</v>
      </c>
    </row>
    <row r="112" spans="1:14" ht="112.5">
      <c r="A112" s="91">
        <v>1039740</v>
      </c>
      <c r="B112" s="91" t="s">
        <v>473</v>
      </c>
      <c r="C112" s="91" t="s">
        <v>474</v>
      </c>
      <c r="D112" s="91" t="s">
        <v>485</v>
      </c>
      <c r="E112" s="92" t="s">
        <v>235</v>
      </c>
      <c r="F112" s="92" t="s">
        <v>486</v>
      </c>
      <c r="G112" s="92" t="s">
        <v>487</v>
      </c>
      <c r="H112" s="92" t="s">
        <v>459</v>
      </c>
      <c r="I112" s="93">
        <v>49460.800000000003</v>
      </c>
      <c r="J112" s="93" t="s">
        <v>478</v>
      </c>
      <c r="K112" s="93">
        <f>(I112/28)/12.5*33</f>
        <v>4663.4468571428579</v>
      </c>
      <c r="L112" s="103" t="s">
        <v>23</v>
      </c>
      <c r="M112" s="110" t="s">
        <v>479</v>
      </c>
      <c r="N112" s="91" t="s">
        <v>1280</v>
      </c>
    </row>
    <row r="113" spans="1:14" ht="112.5">
      <c r="A113" s="91">
        <v>1039741</v>
      </c>
      <c r="B113" s="91" t="s">
        <v>473</v>
      </c>
      <c r="C113" s="91" t="s">
        <v>474</v>
      </c>
      <c r="D113" s="91" t="s">
        <v>488</v>
      </c>
      <c r="E113" s="92" t="s">
        <v>235</v>
      </c>
      <c r="F113" s="92" t="s">
        <v>34</v>
      </c>
      <c r="G113" s="92" t="s">
        <v>489</v>
      </c>
      <c r="H113" s="92" t="s">
        <v>459</v>
      </c>
      <c r="I113" s="99">
        <v>51417.2</v>
      </c>
      <c r="J113" s="93" t="s">
        <v>478</v>
      </c>
      <c r="K113" s="93">
        <f>(I113/28)/25*33</f>
        <v>2423.9537142857139</v>
      </c>
      <c r="L113" s="103" t="s">
        <v>23</v>
      </c>
      <c r="M113" s="110" t="s">
        <v>479</v>
      </c>
      <c r="N113" s="91" t="s">
        <v>1280</v>
      </c>
    </row>
    <row r="114" spans="1:14" ht="112.5">
      <c r="A114" s="91">
        <v>1039742</v>
      </c>
      <c r="B114" s="91" t="s">
        <v>473</v>
      </c>
      <c r="C114" s="91" t="s">
        <v>474</v>
      </c>
      <c r="D114" s="91" t="s">
        <v>485</v>
      </c>
      <c r="E114" s="92" t="s">
        <v>235</v>
      </c>
      <c r="F114" s="92" t="s">
        <v>46</v>
      </c>
      <c r="G114" s="92" t="s">
        <v>490</v>
      </c>
      <c r="H114" s="92" t="s">
        <v>459</v>
      </c>
      <c r="I114" s="93">
        <v>102541.4</v>
      </c>
      <c r="J114" s="93" t="s">
        <v>478</v>
      </c>
      <c r="K114" s="93">
        <f>(I114/28)/50*33</f>
        <v>2417.0472857142854</v>
      </c>
      <c r="L114" s="103" t="s">
        <v>23</v>
      </c>
      <c r="M114" s="110" t="s">
        <v>479</v>
      </c>
      <c r="N114" s="91" t="s">
        <v>1280</v>
      </c>
    </row>
    <row r="115" spans="1:14" ht="112.5">
      <c r="A115" s="105" t="s">
        <v>491</v>
      </c>
      <c r="B115" s="105" t="s">
        <v>492</v>
      </c>
      <c r="C115" s="96" t="s">
        <v>474</v>
      </c>
      <c r="D115" s="96" t="s">
        <v>493</v>
      </c>
      <c r="E115" s="102" t="s">
        <v>235</v>
      </c>
      <c r="F115" s="102" t="s">
        <v>494</v>
      </c>
      <c r="G115" s="92" t="s">
        <v>495</v>
      </c>
      <c r="H115" s="92" t="s">
        <v>496</v>
      </c>
      <c r="I115" s="93">
        <v>148418.70000000001</v>
      </c>
      <c r="J115" s="97" t="s">
        <v>478</v>
      </c>
      <c r="K115" s="93">
        <f>(I115/28)/37.5*33</f>
        <v>4664.5877142857144</v>
      </c>
      <c r="L115" s="103" t="s">
        <v>23</v>
      </c>
      <c r="M115" s="110" t="s">
        <v>479</v>
      </c>
      <c r="N115" s="91" t="s">
        <v>1280</v>
      </c>
    </row>
    <row r="116" spans="1:14" ht="112.5">
      <c r="A116" s="105" t="s">
        <v>497</v>
      </c>
      <c r="B116" s="105" t="s">
        <v>492</v>
      </c>
      <c r="C116" s="96" t="s">
        <v>474</v>
      </c>
      <c r="D116" s="96" t="s">
        <v>493</v>
      </c>
      <c r="E116" s="102" t="s">
        <v>235</v>
      </c>
      <c r="F116" s="102" t="s">
        <v>46</v>
      </c>
      <c r="G116" s="92" t="s">
        <v>495</v>
      </c>
      <c r="H116" s="92" t="s">
        <v>496</v>
      </c>
      <c r="I116" s="93">
        <v>102541.4</v>
      </c>
      <c r="J116" s="97" t="s">
        <v>478</v>
      </c>
      <c r="K116" s="93">
        <f>(I116/28)/50*33</f>
        <v>2417.0472857142854</v>
      </c>
      <c r="L116" s="103" t="s">
        <v>23</v>
      </c>
      <c r="M116" s="110" t="s">
        <v>479</v>
      </c>
      <c r="N116" s="91" t="s">
        <v>1280</v>
      </c>
    </row>
    <row r="117" spans="1:14" ht="112.5">
      <c r="A117" s="104">
        <v>1039755</v>
      </c>
      <c r="B117" s="105" t="s">
        <v>492</v>
      </c>
      <c r="C117" s="91" t="s">
        <v>474</v>
      </c>
      <c r="D117" s="104" t="s">
        <v>498</v>
      </c>
      <c r="E117" s="92" t="s">
        <v>235</v>
      </c>
      <c r="F117" s="92" t="s">
        <v>486</v>
      </c>
      <c r="G117" s="92" t="s">
        <v>499</v>
      </c>
      <c r="H117" s="92" t="s">
        <v>500</v>
      </c>
      <c r="I117" s="93">
        <v>49460.800000000003</v>
      </c>
      <c r="J117" s="99" t="s">
        <v>478</v>
      </c>
      <c r="K117" s="93">
        <f>(I117/28)/12.5*33</f>
        <v>4663.4468571428579</v>
      </c>
      <c r="L117" s="103" t="s">
        <v>23</v>
      </c>
      <c r="M117" s="110" t="s">
        <v>479</v>
      </c>
      <c r="N117" s="91" t="s">
        <v>1280</v>
      </c>
    </row>
    <row r="118" spans="1:14" ht="112.5">
      <c r="A118" s="104">
        <v>1039756</v>
      </c>
      <c r="B118" s="105" t="s">
        <v>492</v>
      </c>
      <c r="C118" s="91" t="s">
        <v>474</v>
      </c>
      <c r="D118" s="104" t="s">
        <v>498</v>
      </c>
      <c r="E118" s="92" t="s">
        <v>235</v>
      </c>
      <c r="F118" s="92" t="s">
        <v>34</v>
      </c>
      <c r="G118" s="92" t="s">
        <v>499</v>
      </c>
      <c r="H118" s="92" t="s">
        <v>500</v>
      </c>
      <c r="I118" s="99">
        <v>51417.2</v>
      </c>
      <c r="J118" s="99" t="s">
        <v>478</v>
      </c>
      <c r="K118" s="93">
        <f>(I118/28)/25*33</f>
        <v>2423.9537142857139</v>
      </c>
      <c r="L118" s="103" t="s">
        <v>23</v>
      </c>
      <c r="M118" s="110" t="s">
        <v>479</v>
      </c>
      <c r="N118" s="91" t="s">
        <v>1280</v>
      </c>
    </row>
    <row r="119" spans="1:14" ht="112.5">
      <c r="A119" s="104">
        <v>1039757</v>
      </c>
      <c r="B119" s="105" t="s">
        <v>492</v>
      </c>
      <c r="C119" s="91" t="s">
        <v>474</v>
      </c>
      <c r="D119" s="104" t="s">
        <v>498</v>
      </c>
      <c r="E119" s="92" t="s">
        <v>235</v>
      </c>
      <c r="F119" s="92" t="s">
        <v>46</v>
      </c>
      <c r="G119" s="92" t="s">
        <v>499</v>
      </c>
      <c r="H119" s="92" t="s">
        <v>500</v>
      </c>
      <c r="I119" s="93">
        <v>102541.4</v>
      </c>
      <c r="J119" s="99" t="s">
        <v>478</v>
      </c>
      <c r="K119" s="93">
        <f>(I119/28)/50*33</f>
        <v>2417.0472857142854</v>
      </c>
      <c r="L119" s="103" t="s">
        <v>23</v>
      </c>
      <c r="M119" s="110" t="s">
        <v>479</v>
      </c>
      <c r="N119" s="91" t="s">
        <v>1280</v>
      </c>
    </row>
    <row r="120" spans="1:14" ht="112.5">
      <c r="A120" s="105" t="s">
        <v>501</v>
      </c>
      <c r="B120" s="104" t="s">
        <v>492</v>
      </c>
      <c r="C120" s="91" t="s">
        <v>474</v>
      </c>
      <c r="D120" s="91" t="s">
        <v>502</v>
      </c>
      <c r="E120" s="92" t="s">
        <v>235</v>
      </c>
      <c r="F120" s="92" t="s">
        <v>476</v>
      </c>
      <c r="G120" s="92" t="s">
        <v>503</v>
      </c>
      <c r="H120" s="92" t="s">
        <v>504</v>
      </c>
      <c r="I120" s="93">
        <v>49460.800000000003</v>
      </c>
      <c r="J120" s="93" t="s">
        <v>478</v>
      </c>
      <c r="K120" s="98">
        <f>I120/28/12.5*33</f>
        <v>4663.4468571428579</v>
      </c>
      <c r="L120" s="103" t="s">
        <v>23</v>
      </c>
      <c r="M120" s="110" t="s">
        <v>479</v>
      </c>
      <c r="N120" s="91" t="s">
        <v>1280</v>
      </c>
    </row>
    <row r="121" spans="1:14" ht="112.5">
      <c r="A121" s="105" t="s">
        <v>505</v>
      </c>
      <c r="B121" s="104" t="s">
        <v>492</v>
      </c>
      <c r="C121" s="91" t="s">
        <v>474</v>
      </c>
      <c r="D121" s="91" t="s">
        <v>502</v>
      </c>
      <c r="E121" s="92" t="s">
        <v>235</v>
      </c>
      <c r="F121" s="92" t="s">
        <v>482</v>
      </c>
      <c r="G121" s="92" t="s">
        <v>503</v>
      </c>
      <c r="H121" s="92" t="s">
        <v>504</v>
      </c>
      <c r="I121" s="93">
        <v>51417.2</v>
      </c>
      <c r="J121" s="93" t="s">
        <v>478</v>
      </c>
      <c r="K121" s="98">
        <f>I121/28/25*33</f>
        <v>2423.9537142857139</v>
      </c>
      <c r="L121" s="103" t="s">
        <v>23</v>
      </c>
      <c r="M121" s="110" t="s">
        <v>479</v>
      </c>
      <c r="N121" s="91" t="s">
        <v>1280</v>
      </c>
    </row>
    <row r="122" spans="1:14" ht="112.5">
      <c r="A122" s="105" t="s">
        <v>506</v>
      </c>
      <c r="B122" s="104" t="s">
        <v>492</v>
      </c>
      <c r="C122" s="91" t="s">
        <v>474</v>
      </c>
      <c r="D122" s="91" t="s">
        <v>502</v>
      </c>
      <c r="E122" s="92" t="s">
        <v>235</v>
      </c>
      <c r="F122" s="92" t="s">
        <v>507</v>
      </c>
      <c r="G122" s="92" t="s">
        <v>503</v>
      </c>
      <c r="H122" s="92" t="s">
        <v>504</v>
      </c>
      <c r="I122" s="93">
        <v>122450.9</v>
      </c>
      <c r="J122" s="93" t="s">
        <v>478</v>
      </c>
      <c r="K122" s="98">
        <f>I122/28/37.5*33</f>
        <v>3848.4568571428572</v>
      </c>
      <c r="L122" s="103" t="s">
        <v>23</v>
      </c>
      <c r="M122" s="110" t="s">
        <v>479</v>
      </c>
      <c r="N122" s="91" t="s">
        <v>1280</v>
      </c>
    </row>
    <row r="123" spans="1:14" ht="112.5">
      <c r="A123" s="105" t="s">
        <v>508</v>
      </c>
      <c r="B123" s="104" t="s">
        <v>492</v>
      </c>
      <c r="C123" s="91" t="s">
        <v>474</v>
      </c>
      <c r="D123" s="91" t="s">
        <v>502</v>
      </c>
      <c r="E123" s="92" t="s">
        <v>235</v>
      </c>
      <c r="F123" s="92" t="s">
        <v>484</v>
      </c>
      <c r="G123" s="92" t="s">
        <v>503</v>
      </c>
      <c r="H123" s="92" t="s">
        <v>504</v>
      </c>
      <c r="I123" s="93">
        <v>102541.4</v>
      </c>
      <c r="J123" s="93" t="s">
        <v>478</v>
      </c>
      <c r="K123" s="98">
        <f>I123/28/50*33</f>
        <v>2417.0472857142854</v>
      </c>
      <c r="L123" s="103" t="s">
        <v>23</v>
      </c>
      <c r="M123" s="110" t="s">
        <v>479</v>
      </c>
      <c r="N123" s="91" t="s">
        <v>1280</v>
      </c>
    </row>
    <row r="124" spans="1:14" ht="112.5">
      <c r="A124" s="90" t="s">
        <v>511</v>
      </c>
      <c r="B124" s="90" t="s">
        <v>492</v>
      </c>
      <c r="C124" s="91" t="s">
        <v>474</v>
      </c>
      <c r="D124" s="91" t="s">
        <v>512</v>
      </c>
      <c r="E124" s="92" t="s">
        <v>235</v>
      </c>
      <c r="F124" s="92" t="s">
        <v>1220</v>
      </c>
      <c r="G124" s="92" t="s">
        <v>513</v>
      </c>
      <c r="H124" s="92" t="s">
        <v>514</v>
      </c>
      <c r="I124" s="93">
        <v>52993.8</v>
      </c>
      <c r="J124" s="93" t="s">
        <v>478</v>
      </c>
      <c r="K124" s="93">
        <f>+(I124/ 30/ 12.5)*33</f>
        <v>4663.4543999999996</v>
      </c>
      <c r="L124" s="103" t="s">
        <v>23</v>
      </c>
      <c r="M124" s="110" t="s">
        <v>479</v>
      </c>
      <c r="N124" s="91" t="s">
        <v>1280</v>
      </c>
    </row>
    <row r="125" spans="1:14" ht="112.5">
      <c r="A125" s="90" t="s">
        <v>515</v>
      </c>
      <c r="B125" s="90" t="s">
        <v>492</v>
      </c>
      <c r="C125" s="91" t="s">
        <v>474</v>
      </c>
      <c r="D125" s="91" t="s">
        <v>512</v>
      </c>
      <c r="E125" s="92" t="s">
        <v>235</v>
      </c>
      <c r="F125" s="92" t="s">
        <v>1221</v>
      </c>
      <c r="G125" s="92" t="s">
        <v>513</v>
      </c>
      <c r="H125" s="92" t="s">
        <v>514</v>
      </c>
      <c r="I125" s="93">
        <v>55089.9</v>
      </c>
      <c r="J125" s="93" t="s">
        <v>478</v>
      </c>
      <c r="K125" s="93">
        <f>+(I125/ 30/ 25)*33</f>
        <v>2423.9556000000002</v>
      </c>
      <c r="L125" s="103" t="s">
        <v>23</v>
      </c>
      <c r="M125" s="110" t="s">
        <v>479</v>
      </c>
      <c r="N125" s="91" t="s">
        <v>1280</v>
      </c>
    </row>
    <row r="126" spans="1:14" ht="112.5">
      <c r="A126" s="90" t="s">
        <v>516</v>
      </c>
      <c r="B126" s="90" t="s">
        <v>492</v>
      </c>
      <c r="C126" s="91" t="s">
        <v>474</v>
      </c>
      <c r="D126" s="91" t="s">
        <v>512</v>
      </c>
      <c r="E126" s="92" t="s">
        <v>235</v>
      </c>
      <c r="F126" s="92" t="s">
        <v>1222</v>
      </c>
      <c r="G126" s="92" t="s">
        <v>513</v>
      </c>
      <c r="H126" s="92" t="s">
        <v>514</v>
      </c>
      <c r="I126" s="93">
        <v>109865.8</v>
      </c>
      <c r="J126" s="93" t="s">
        <v>478</v>
      </c>
      <c r="K126" s="93">
        <f>+(I126/ 30/ 50)*33</f>
        <v>2417.0476000000003</v>
      </c>
      <c r="L126" s="103" t="s">
        <v>23</v>
      </c>
      <c r="M126" s="110" t="s">
        <v>479</v>
      </c>
      <c r="N126" s="91" t="s">
        <v>1280</v>
      </c>
    </row>
    <row r="127" spans="1:14" ht="112.5">
      <c r="A127" s="90" t="s">
        <v>517</v>
      </c>
      <c r="B127" s="96" t="s">
        <v>492</v>
      </c>
      <c r="C127" s="91" t="s">
        <v>474</v>
      </c>
      <c r="D127" s="91" t="s">
        <v>518</v>
      </c>
      <c r="E127" s="92" t="s">
        <v>235</v>
      </c>
      <c r="F127" s="92" t="s">
        <v>519</v>
      </c>
      <c r="G127" s="92" t="s">
        <v>428</v>
      </c>
      <c r="H127" s="92" t="s">
        <v>429</v>
      </c>
      <c r="I127" s="93">
        <v>49460.800000000003</v>
      </c>
      <c r="J127" s="93" t="s">
        <v>478</v>
      </c>
      <c r="K127" s="93">
        <f>(I127/28)/12.5*33</f>
        <v>4663.4468571428579</v>
      </c>
      <c r="L127" s="103" t="s">
        <v>23</v>
      </c>
      <c r="M127" s="110" t="s">
        <v>479</v>
      </c>
      <c r="N127" s="91" t="s">
        <v>1280</v>
      </c>
    </row>
    <row r="128" spans="1:14" ht="112.5">
      <c r="A128" s="90" t="s">
        <v>520</v>
      </c>
      <c r="B128" s="96" t="s">
        <v>492</v>
      </c>
      <c r="C128" s="91" t="s">
        <v>474</v>
      </c>
      <c r="D128" s="91" t="s">
        <v>518</v>
      </c>
      <c r="E128" s="92" t="s">
        <v>235</v>
      </c>
      <c r="F128" s="92" t="s">
        <v>482</v>
      </c>
      <c r="G128" s="92" t="s">
        <v>428</v>
      </c>
      <c r="H128" s="92" t="s">
        <v>429</v>
      </c>
      <c r="I128" s="93">
        <v>51417.2</v>
      </c>
      <c r="J128" s="93" t="s">
        <v>478</v>
      </c>
      <c r="K128" s="93">
        <f>(I128/28)/25*33</f>
        <v>2423.9537142857139</v>
      </c>
      <c r="L128" s="103" t="s">
        <v>23</v>
      </c>
      <c r="M128" s="110" t="s">
        <v>479</v>
      </c>
      <c r="N128" s="91" t="s">
        <v>1280</v>
      </c>
    </row>
    <row r="129" spans="1:14" ht="112.5">
      <c r="A129" s="90" t="s">
        <v>521</v>
      </c>
      <c r="B129" s="96" t="s">
        <v>492</v>
      </c>
      <c r="C129" s="91" t="s">
        <v>474</v>
      </c>
      <c r="D129" s="91" t="s">
        <v>518</v>
      </c>
      <c r="E129" s="92" t="s">
        <v>235</v>
      </c>
      <c r="F129" s="92" t="s">
        <v>484</v>
      </c>
      <c r="G129" s="92" t="s">
        <v>428</v>
      </c>
      <c r="H129" s="92" t="s">
        <v>429</v>
      </c>
      <c r="I129" s="93">
        <v>102541.4</v>
      </c>
      <c r="J129" s="93" t="s">
        <v>478</v>
      </c>
      <c r="K129" s="93">
        <f>(I129/28)/50*33</f>
        <v>2417.0472857142854</v>
      </c>
      <c r="L129" s="103" t="s">
        <v>23</v>
      </c>
      <c r="M129" s="110" t="s">
        <v>479</v>
      </c>
      <c r="N129" s="91" t="s">
        <v>1280</v>
      </c>
    </row>
    <row r="130" spans="1:14" ht="112.5">
      <c r="A130" s="105" t="s">
        <v>522</v>
      </c>
      <c r="B130" s="91" t="s">
        <v>492</v>
      </c>
      <c r="C130" s="91" t="s">
        <v>474</v>
      </c>
      <c r="D130" s="91" t="s">
        <v>523</v>
      </c>
      <c r="E130" s="92" t="s">
        <v>235</v>
      </c>
      <c r="F130" s="92" t="s">
        <v>1210</v>
      </c>
      <c r="G130" s="92" t="s">
        <v>524</v>
      </c>
      <c r="H130" s="92" t="s">
        <v>525</v>
      </c>
      <c r="I130" s="93">
        <v>52993.8</v>
      </c>
      <c r="J130" s="93" t="s">
        <v>478</v>
      </c>
      <c r="K130" s="93">
        <f>I130/(30*12.5)*33</f>
        <v>4663.4543999999996</v>
      </c>
      <c r="L130" s="103" t="s">
        <v>23</v>
      </c>
      <c r="M130" s="110" t="s">
        <v>479</v>
      </c>
      <c r="N130" s="91" t="s">
        <v>1280</v>
      </c>
    </row>
    <row r="131" spans="1:14" ht="112.5">
      <c r="A131" s="105" t="s">
        <v>526</v>
      </c>
      <c r="B131" s="91" t="s">
        <v>492</v>
      </c>
      <c r="C131" s="91" t="s">
        <v>474</v>
      </c>
      <c r="D131" s="91" t="s">
        <v>523</v>
      </c>
      <c r="E131" s="92" t="s">
        <v>235</v>
      </c>
      <c r="F131" s="92" t="s">
        <v>1220</v>
      </c>
      <c r="G131" s="92" t="s">
        <v>524</v>
      </c>
      <c r="H131" s="92" t="s">
        <v>525</v>
      </c>
      <c r="I131" s="93">
        <v>52993.8</v>
      </c>
      <c r="J131" s="93" t="s">
        <v>478</v>
      </c>
      <c r="K131" s="93">
        <f>I131/(30*12.5)*33</f>
        <v>4663.4543999999996</v>
      </c>
      <c r="L131" s="103" t="s">
        <v>23</v>
      </c>
      <c r="M131" s="110" t="s">
        <v>479</v>
      </c>
      <c r="N131" s="91" t="s">
        <v>1280</v>
      </c>
    </row>
    <row r="132" spans="1:14" ht="112.5">
      <c r="A132" s="105" t="s">
        <v>527</v>
      </c>
      <c r="B132" s="91" t="s">
        <v>492</v>
      </c>
      <c r="C132" s="91" t="s">
        <v>474</v>
      </c>
      <c r="D132" s="91" t="s">
        <v>523</v>
      </c>
      <c r="E132" s="92" t="s">
        <v>235</v>
      </c>
      <c r="F132" s="92" t="s">
        <v>436</v>
      </c>
      <c r="G132" s="92" t="s">
        <v>524</v>
      </c>
      <c r="H132" s="92" t="s">
        <v>525</v>
      </c>
      <c r="I132" s="93">
        <v>55089.9</v>
      </c>
      <c r="J132" s="93" t="s">
        <v>478</v>
      </c>
      <c r="K132" s="93">
        <f>I132/(30*25)*33</f>
        <v>2423.9555999999998</v>
      </c>
      <c r="L132" s="103" t="s">
        <v>23</v>
      </c>
      <c r="M132" s="110" t="s">
        <v>479</v>
      </c>
      <c r="N132" s="91" t="s">
        <v>1280</v>
      </c>
    </row>
    <row r="133" spans="1:14" ht="112.5">
      <c r="A133" s="105" t="s">
        <v>528</v>
      </c>
      <c r="B133" s="91" t="s">
        <v>492</v>
      </c>
      <c r="C133" s="91" t="s">
        <v>474</v>
      </c>
      <c r="D133" s="91" t="s">
        <v>523</v>
      </c>
      <c r="E133" s="92" t="s">
        <v>235</v>
      </c>
      <c r="F133" s="92" t="s">
        <v>1221</v>
      </c>
      <c r="G133" s="92" t="s">
        <v>524</v>
      </c>
      <c r="H133" s="92" t="s">
        <v>525</v>
      </c>
      <c r="I133" s="93">
        <v>55089.9</v>
      </c>
      <c r="J133" s="93" t="s">
        <v>478</v>
      </c>
      <c r="K133" s="93">
        <f>I133/(30*25)*33</f>
        <v>2423.9555999999998</v>
      </c>
      <c r="L133" s="103" t="s">
        <v>23</v>
      </c>
      <c r="M133" s="110" t="s">
        <v>479</v>
      </c>
      <c r="N133" s="91" t="s">
        <v>1280</v>
      </c>
    </row>
    <row r="134" spans="1:14" ht="112.5">
      <c r="A134" s="105" t="s">
        <v>529</v>
      </c>
      <c r="B134" s="91" t="s">
        <v>492</v>
      </c>
      <c r="C134" s="91" t="s">
        <v>474</v>
      </c>
      <c r="D134" s="91" t="s">
        <v>523</v>
      </c>
      <c r="E134" s="92" t="s">
        <v>235</v>
      </c>
      <c r="F134" s="92" t="s">
        <v>1211</v>
      </c>
      <c r="G134" s="92" t="s">
        <v>524</v>
      </c>
      <c r="H134" s="92" t="s">
        <v>525</v>
      </c>
      <c r="I134" s="93">
        <v>109865.8</v>
      </c>
      <c r="J134" s="93" t="s">
        <v>478</v>
      </c>
      <c r="K134" s="93">
        <f>I134/(30*50)*33</f>
        <v>2417.0475999999999</v>
      </c>
      <c r="L134" s="103" t="s">
        <v>23</v>
      </c>
      <c r="M134" s="110" t="s">
        <v>479</v>
      </c>
      <c r="N134" s="91" t="s">
        <v>1280</v>
      </c>
    </row>
    <row r="135" spans="1:14" ht="112.5">
      <c r="A135" s="105" t="s">
        <v>530</v>
      </c>
      <c r="B135" s="91" t="s">
        <v>492</v>
      </c>
      <c r="C135" s="91" t="s">
        <v>474</v>
      </c>
      <c r="D135" s="91" t="s">
        <v>523</v>
      </c>
      <c r="E135" s="92" t="s">
        <v>235</v>
      </c>
      <c r="F135" s="92" t="s">
        <v>1222</v>
      </c>
      <c r="G135" s="92" t="s">
        <v>524</v>
      </c>
      <c r="H135" s="92" t="s">
        <v>525</v>
      </c>
      <c r="I135" s="93">
        <v>109865.8</v>
      </c>
      <c r="J135" s="93" t="s">
        <v>478</v>
      </c>
      <c r="K135" s="93">
        <f>I135/(30*50)*33</f>
        <v>2417.0475999999999</v>
      </c>
      <c r="L135" s="103" t="s">
        <v>23</v>
      </c>
      <c r="M135" s="110" t="s">
        <v>479</v>
      </c>
      <c r="N135" s="91" t="s">
        <v>1280</v>
      </c>
    </row>
    <row r="136" spans="1:14" ht="112.5">
      <c r="A136" s="105" t="s">
        <v>1214</v>
      </c>
      <c r="B136" s="122" t="s">
        <v>492</v>
      </c>
      <c r="C136" s="91" t="s">
        <v>474</v>
      </c>
      <c r="D136" s="91" t="s">
        <v>1212</v>
      </c>
      <c r="E136" s="92" t="s">
        <v>235</v>
      </c>
      <c r="F136" s="92" t="s">
        <v>509</v>
      </c>
      <c r="G136" s="92" t="s">
        <v>1208</v>
      </c>
      <c r="H136" s="92" t="s">
        <v>1209</v>
      </c>
      <c r="I136" s="93">
        <v>49460.800000000003</v>
      </c>
      <c r="J136" s="92" t="s">
        <v>478</v>
      </c>
      <c r="K136" s="93">
        <f>I136/(28*12.5)*33</f>
        <v>4663.4468571428579</v>
      </c>
      <c r="L136" s="103" t="s">
        <v>23</v>
      </c>
      <c r="M136" s="110" t="s">
        <v>479</v>
      </c>
      <c r="N136" s="91" t="s">
        <v>1280</v>
      </c>
    </row>
    <row r="137" spans="1:14" ht="112.5">
      <c r="A137" s="105" t="s">
        <v>1215</v>
      </c>
      <c r="B137" s="122" t="s">
        <v>492</v>
      </c>
      <c r="C137" s="91" t="s">
        <v>474</v>
      </c>
      <c r="D137" s="91" t="s">
        <v>1212</v>
      </c>
      <c r="E137" s="92" t="s">
        <v>235</v>
      </c>
      <c r="F137" s="92" t="s">
        <v>1210</v>
      </c>
      <c r="G137" s="92" t="s">
        <v>1208</v>
      </c>
      <c r="H137" s="92" t="s">
        <v>1209</v>
      </c>
      <c r="I137" s="93">
        <v>52993.8</v>
      </c>
      <c r="J137" s="92" t="s">
        <v>478</v>
      </c>
      <c r="K137" s="93">
        <f>I137/(30*12.5)*33</f>
        <v>4663.4543999999996</v>
      </c>
      <c r="L137" s="103" t="s">
        <v>23</v>
      </c>
      <c r="M137" s="110" t="s">
        <v>479</v>
      </c>
      <c r="N137" s="91" t="s">
        <v>1280</v>
      </c>
    </row>
    <row r="138" spans="1:14" ht="112.5">
      <c r="A138" s="105" t="s">
        <v>1216</v>
      </c>
      <c r="B138" s="122" t="s">
        <v>492</v>
      </c>
      <c r="C138" s="91" t="s">
        <v>474</v>
      </c>
      <c r="D138" s="91" t="s">
        <v>1212</v>
      </c>
      <c r="E138" s="92" t="s">
        <v>235</v>
      </c>
      <c r="F138" s="92" t="s">
        <v>34</v>
      </c>
      <c r="G138" s="92" t="s">
        <v>1208</v>
      </c>
      <c r="H138" s="92" t="s">
        <v>1209</v>
      </c>
      <c r="I138" s="93">
        <v>51417.2</v>
      </c>
      <c r="J138" s="92" t="s">
        <v>478</v>
      </c>
      <c r="K138" s="93">
        <f>I138/(28*25)*33</f>
        <v>2423.9537142857139</v>
      </c>
      <c r="L138" s="103" t="s">
        <v>23</v>
      </c>
      <c r="M138" s="110" t="s">
        <v>479</v>
      </c>
      <c r="N138" s="91" t="s">
        <v>1280</v>
      </c>
    </row>
    <row r="139" spans="1:14" ht="112.5">
      <c r="A139" s="105" t="s">
        <v>1217</v>
      </c>
      <c r="B139" s="122" t="s">
        <v>492</v>
      </c>
      <c r="C139" s="91" t="s">
        <v>474</v>
      </c>
      <c r="D139" s="91" t="s">
        <v>1212</v>
      </c>
      <c r="E139" s="92" t="s">
        <v>235</v>
      </c>
      <c r="F139" s="92" t="s">
        <v>436</v>
      </c>
      <c r="G139" s="92" t="s">
        <v>1208</v>
      </c>
      <c r="H139" s="92" t="s">
        <v>1209</v>
      </c>
      <c r="I139" s="93">
        <v>55089.9</v>
      </c>
      <c r="J139" s="92" t="s">
        <v>478</v>
      </c>
      <c r="K139" s="93">
        <f>I139/(30*25)*33</f>
        <v>2423.9555999999998</v>
      </c>
      <c r="L139" s="103" t="s">
        <v>23</v>
      </c>
      <c r="M139" s="110" t="s">
        <v>479</v>
      </c>
      <c r="N139" s="91" t="s">
        <v>1280</v>
      </c>
    </row>
    <row r="140" spans="1:14" ht="112.5">
      <c r="A140" s="105" t="s">
        <v>1218</v>
      </c>
      <c r="B140" s="122" t="s">
        <v>492</v>
      </c>
      <c r="C140" s="91" t="s">
        <v>474</v>
      </c>
      <c r="D140" s="91" t="s">
        <v>1212</v>
      </c>
      <c r="E140" s="92" t="s">
        <v>235</v>
      </c>
      <c r="F140" s="92" t="s">
        <v>46</v>
      </c>
      <c r="G140" s="92" t="s">
        <v>1208</v>
      </c>
      <c r="H140" s="92" t="s">
        <v>1209</v>
      </c>
      <c r="I140" s="93">
        <v>102541.4</v>
      </c>
      <c r="J140" s="92" t="s">
        <v>478</v>
      </c>
      <c r="K140" s="93">
        <f>I140/(28*50)*33</f>
        <v>2417.0472857142854</v>
      </c>
      <c r="L140" s="103" t="s">
        <v>23</v>
      </c>
      <c r="M140" s="110" t="s">
        <v>479</v>
      </c>
      <c r="N140" s="91" t="s">
        <v>1280</v>
      </c>
    </row>
    <row r="141" spans="1:14" ht="112.5">
      <c r="A141" s="105" t="s">
        <v>1219</v>
      </c>
      <c r="B141" s="122" t="s">
        <v>492</v>
      </c>
      <c r="C141" s="91" t="s">
        <v>474</v>
      </c>
      <c r="D141" s="91" t="s">
        <v>1212</v>
      </c>
      <c r="E141" s="92" t="s">
        <v>235</v>
      </c>
      <c r="F141" s="92" t="s">
        <v>1211</v>
      </c>
      <c r="G141" s="92" t="s">
        <v>1208</v>
      </c>
      <c r="H141" s="92" t="s">
        <v>1209</v>
      </c>
      <c r="I141" s="93">
        <v>109865.8</v>
      </c>
      <c r="J141" s="92" t="s">
        <v>478</v>
      </c>
      <c r="K141" s="93">
        <f>I141/(30*50)*33</f>
        <v>2417.0475999999999</v>
      </c>
      <c r="L141" s="103" t="s">
        <v>23</v>
      </c>
      <c r="M141" s="110" t="s">
        <v>479</v>
      </c>
      <c r="N141" s="91" t="s">
        <v>1280</v>
      </c>
    </row>
    <row r="142" spans="1:14" ht="112.5">
      <c r="A142" s="105" t="s">
        <v>1281</v>
      </c>
      <c r="B142" s="122" t="s">
        <v>492</v>
      </c>
      <c r="C142" s="91" t="s">
        <v>474</v>
      </c>
      <c r="D142" s="91" t="s">
        <v>1282</v>
      </c>
      <c r="E142" s="92" t="s">
        <v>235</v>
      </c>
      <c r="F142" s="92" t="s">
        <v>509</v>
      </c>
      <c r="G142" s="92" t="s">
        <v>547</v>
      </c>
      <c r="H142" s="92" t="s">
        <v>510</v>
      </c>
      <c r="I142" s="93">
        <v>49460.800000000003</v>
      </c>
      <c r="J142" s="92" t="s">
        <v>478</v>
      </c>
      <c r="K142" s="93">
        <f>(I142/28)/12.5*33</f>
        <v>4663.4468571428579</v>
      </c>
      <c r="L142" s="103" t="s">
        <v>23</v>
      </c>
      <c r="M142" s="110" t="s">
        <v>479</v>
      </c>
      <c r="N142" s="91" t="s">
        <v>1280</v>
      </c>
    </row>
    <row r="143" spans="1:14" ht="112.5">
      <c r="A143" s="105" t="s">
        <v>1283</v>
      </c>
      <c r="B143" s="122" t="s">
        <v>492</v>
      </c>
      <c r="C143" s="91" t="s">
        <v>474</v>
      </c>
      <c r="D143" s="91" t="s">
        <v>1282</v>
      </c>
      <c r="E143" s="92" t="s">
        <v>235</v>
      </c>
      <c r="F143" s="92" t="s">
        <v>34</v>
      </c>
      <c r="G143" s="92" t="s">
        <v>547</v>
      </c>
      <c r="H143" s="92" t="s">
        <v>510</v>
      </c>
      <c r="I143" s="93">
        <v>51417.2</v>
      </c>
      <c r="J143" s="92" t="s">
        <v>478</v>
      </c>
      <c r="K143" s="93">
        <f>(I143/28)/25*33</f>
        <v>2423.9537142857139</v>
      </c>
      <c r="L143" s="103" t="s">
        <v>23</v>
      </c>
      <c r="M143" s="110" t="s">
        <v>479</v>
      </c>
      <c r="N143" s="91" t="s">
        <v>1280</v>
      </c>
    </row>
    <row r="144" spans="1:14" ht="112.5">
      <c r="A144" s="105" t="s">
        <v>1284</v>
      </c>
      <c r="B144" s="122" t="s">
        <v>492</v>
      </c>
      <c r="C144" s="91" t="s">
        <v>474</v>
      </c>
      <c r="D144" s="91" t="s">
        <v>1282</v>
      </c>
      <c r="E144" s="92" t="s">
        <v>235</v>
      </c>
      <c r="F144" s="92" t="s">
        <v>46</v>
      </c>
      <c r="G144" s="92" t="s">
        <v>547</v>
      </c>
      <c r="H144" s="92" t="s">
        <v>510</v>
      </c>
      <c r="I144" s="93">
        <v>102541.4</v>
      </c>
      <c r="J144" s="92" t="s">
        <v>478</v>
      </c>
      <c r="K144" s="93">
        <f>(I144/28)/50*33</f>
        <v>2417.0472857142854</v>
      </c>
      <c r="L144" s="103" t="s">
        <v>23</v>
      </c>
      <c r="M144" s="110" t="s">
        <v>479</v>
      </c>
      <c r="N144" s="91" t="s">
        <v>1280</v>
      </c>
    </row>
    <row r="145" spans="1:14" ht="112.5">
      <c r="A145" s="105" t="s">
        <v>1285</v>
      </c>
      <c r="B145" s="122" t="s">
        <v>492</v>
      </c>
      <c r="C145" s="91" t="s">
        <v>474</v>
      </c>
      <c r="D145" s="91" t="s">
        <v>1286</v>
      </c>
      <c r="E145" s="92" t="s">
        <v>235</v>
      </c>
      <c r="F145" s="92" t="s">
        <v>1210</v>
      </c>
      <c r="G145" s="92" t="s">
        <v>1287</v>
      </c>
      <c r="H145" s="92" t="s">
        <v>1288</v>
      </c>
      <c r="I145" s="93">
        <v>52993.8</v>
      </c>
      <c r="J145" s="92" t="s">
        <v>1289</v>
      </c>
      <c r="K145" s="93">
        <f>(I145/30)/12.5*33</f>
        <v>4663.4543999999996</v>
      </c>
      <c r="L145" s="103" t="s">
        <v>23</v>
      </c>
      <c r="M145" s="110" t="s">
        <v>479</v>
      </c>
      <c r="N145" s="91" t="s">
        <v>1280</v>
      </c>
    </row>
    <row r="146" spans="1:14" ht="112.5">
      <c r="A146" s="105" t="s">
        <v>1290</v>
      </c>
      <c r="B146" s="122" t="s">
        <v>492</v>
      </c>
      <c r="C146" s="91" t="s">
        <v>474</v>
      </c>
      <c r="D146" s="91" t="s">
        <v>1286</v>
      </c>
      <c r="E146" s="92" t="s">
        <v>235</v>
      </c>
      <c r="F146" s="92" t="s">
        <v>436</v>
      </c>
      <c r="G146" s="92" t="s">
        <v>1287</v>
      </c>
      <c r="H146" s="92" t="s">
        <v>1288</v>
      </c>
      <c r="I146" s="93">
        <v>55089.9</v>
      </c>
      <c r="J146" s="92" t="s">
        <v>1289</v>
      </c>
      <c r="K146" s="93">
        <f>(I146/30)/25*33</f>
        <v>2423.9556000000002</v>
      </c>
      <c r="L146" s="103" t="s">
        <v>23</v>
      </c>
      <c r="M146" s="110" t="s">
        <v>479</v>
      </c>
      <c r="N146" s="91" t="s">
        <v>1280</v>
      </c>
    </row>
    <row r="147" spans="1:14" ht="112.5">
      <c r="A147" s="105" t="s">
        <v>1291</v>
      </c>
      <c r="B147" s="122" t="s">
        <v>492</v>
      </c>
      <c r="C147" s="91" t="s">
        <v>474</v>
      </c>
      <c r="D147" s="91" t="s">
        <v>1286</v>
      </c>
      <c r="E147" s="92" t="s">
        <v>235</v>
      </c>
      <c r="F147" s="92" t="s">
        <v>1211</v>
      </c>
      <c r="G147" s="92" t="s">
        <v>1287</v>
      </c>
      <c r="H147" s="92" t="s">
        <v>1288</v>
      </c>
      <c r="I147" s="93">
        <v>109865.8</v>
      </c>
      <c r="J147" s="92" t="s">
        <v>1289</v>
      </c>
      <c r="K147" s="93">
        <f>(I147/30)/50*33</f>
        <v>2417.0476000000003</v>
      </c>
      <c r="L147" s="103" t="s">
        <v>23</v>
      </c>
      <c r="M147" s="110" t="s">
        <v>479</v>
      </c>
      <c r="N147" s="91" t="s">
        <v>1280</v>
      </c>
    </row>
    <row r="148" spans="1:14" ht="112.5">
      <c r="A148" s="105" t="s">
        <v>1292</v>
      </c>
      <c r="B148" s="122" t="s">
        <v>473</v>
      </c>
      <c r="C148" s="91" t="s">
        <v>474</v>
      </c>
      <c r="D148" s="91" t="s">
        <v>1293</v>
      </c>
      <c r="E148" s="92" t="s">
        <v>235</v>
      </c>
      <c r="F148" s="92" t="s">
        <v>509</v>
      </c>
      <c r="G148" s="92" t="s">
        <v>1294</v>
      </c>
      <c r="H148" s="92" t="s">
        <v>1295</v>
      </c>
      <c r="I148" s="93">
        <v>49460.800000000003</v>
      </c>
      <c r="J148" s="92" t="s">
        <v>478</v>
      </c>
      <c r="K148" s="93">
        <f>(I148/28)/12.5*33</f>
        <v>4663.4468571428579</v>
      </c>
      <c r="L148" s="103" t="s">
        <v>23</v>
      </c>
      <c r="M148" s="110" t="s">
        <v>479</v>
      </c>
      <c r="N148" s="91" t="s">
        <v>1280</v>
      </c>
    </row>
    <row r="149" spans="1:14" ht="112.5">
      <c r="A149" s="105" t="s">
        <v>1296</v>
      </c>
      <c r="B149" s="122" t="s">
        <v>473</v>
      </c>
      <c r="C149" s="91" t="s">
        <v>474</v>
      </c>
      <c r="D149" s="91" t="s">
        <v>1293</v>
      </c>
      <c r="E149" s="92" t="s">
        <v>235</v>
      </c>
      <c r="F149" s="92" t="s">
        <v>34</v>
      </c>
      <c r="G149" s="92" t="s">
        <v>1294</v>
      </c>
      <c r="H149" s="92" t="s">
        <v>1295</v>
      </c>
      <c r="I149" s="93">
        <v>51417.2</v>
      </c>
      <c r="J149" s="92" t="s">
        <v>478</v>
      </c>
      <c r="K149" s="93">
        <f>(I149/28)/25*33</f>
        <v>2423.9537142857139</v>
      </c>
      <c r="L149" s="103" t="s">
        <v>23</v>
      </c>
      <c r="M149" s="110" t="s">
        <v>479</v>
      </c>
      <c r="N149" s="91" t="s">
        <v>1280</v>
      </c>
    </row>
    <row r="150" spans="1:14" ht="112.5">
      <c r="A150" s="105" t="s">
        <v>1297</v>
      </c>
      <c r="B150" s="122" t="s">
        <v>473</v>
      </c>
      <c r="C150" s="91" t="s">
        <v>474</v>
      </c>
      <c r="D150" s="91" t="s">
        <v>1293</v>
      </c>
      <c r="E150" s="92" t="s">
        <v>235</v>
      </c>
      <c r="F150" s="92" t="s">
        <v>46</v>
      </c>
      <c r="G150" s="92" t="s">
        <v>1294</v>
      </c>
      <c r="H150" s="92" t="s">
        <v>1295</v>
      </c>
      <c r="I150" s="93">
        <v>102541.4</v>
      </c>
      <c r="J150" s="92" t="s">
        <v>478</v>
      </c>
      <c r="K150" s="93">
        <f>(I150/28)/50*33</f>
        <v>2417.0472857142854</v>
      </c>
      <c r="L150" s="103" t="s">
        <v>23</v>
      </c>
      <c r="M150" s="110" t="s">
        <v>479</v>
      </c>
      <c r="N150" s="91" t="s">
        <v>1280</v>
      </c>
    </row>
    <row r="151" spans="1:14" ht="168.75">
      <c r="A151" s="90" t="s">
        <v>531</v>
      </c>
      <c r="B151" s="91" t="s">
        <v>532</v>
      </c>
      <c r="C151" s="91" t="s">
        <v>533</v>
      </c>
      <c r="D151" s="91" t="s">
        <v>534</v>
      </c>
      <c r="E151" s="92" t="s">
        <v>33</v>
      </c>
      <c r="F151" s="92" t="s">
        <v>535</v>
      </c>
      <c r="G151" s="92" t="s">
        <v>536</v>
      </c>
      <c r="H151" s="92" t="s">
        <v>537</v>
      </c>
      <c r="I151" s="93">
        <v>133158.70000000001</v>
      </c>
      <c r="J151" s="93" t="s">
        <v>538</v>
      </c>
      <c r="K151" s="93">
        <f>(I151/112)/200*800</f>
        <v>4755.6678571428574</v>
      </c>
      <c r="L151" s="103" t="s">
        <v>23</v>
      </c>
      <c r="M151" s="110" t="s">
        <v>539</v>
      </c>
      <c r="N151" s="91" t="s">
        <v>540</v>
      </c>
    </row>
    <row r="152" spans="1:14" ht="135">
      <c r="A152" s="91">
        <v>1039140</v>
      </c>
      <c r="B152" s="91" t="s">
        <v>545</v>
      </c>
      <c r="C152" s="91" t="s">
        <v>533</v>
      </c>
      <c r="D152" s="91" t="s">
        <v>541</v>
      </c>
      <c r="E152" s="92" t="s">
        <v>33</v>
      </c>
      <c r="F152" s="92" t="s">
        <v>535</v>
      </c>
      <c r="G152" s="92" t="s">
        <v>1260</v>
      </c>
      <c r="H152" s="92" t="s">
        <v>1261</v>
      </c>
      <c r="I152" s="93">
        <v>74897.100000000006</v>
      </c>
      <c r="J152" s="93" t="s">
        <v>538</v>
      </c>
      <c r="K152" s="93">
        <f>(I152/112)/200*800</f>
        <v>2674.8964285714287</v>
      </c>
      <c r="L152" s="103" t="s">
        <v>23</v>
      </c>
      <c r="M152" s="110" t="s">
        <v>542</v>
      </c>
      <c r="N152" s="91" t="s">
        <v>543</v>
      </c>
    </row>
    <row r="153" spans="1:14" ht="135">
      <c r="A153" s="90" t="s">
        <v>544</v>
      </c>
      <c r="B153" s="91" t="s">
        <v>545</v>
      </c>
      <c r="C153" s="120" t="s">
        <v>533</v>
      </c>
      <c r="D153" s="91" t="s">
        <v>546</v>
      </c>
      <c r="E153" s="92" t="s">
        <v>33</v>
      </c>
      <c r="F153" s="92" t="s">
        <v>535</v>
      </c>
      <c r="G153" s="92" t="s">
        <v>547</v>
      </c>
      <c r="H153" s="92" t="s">
        <v>510</v>
      </c>
      <c r="I153" s="93">
        <v>74897.100000000006</v>
      </c>
      <c r="J153" s="93" t="s">
        <v>538</v>
      </c>
      <c r="K153" s="93">
        <f>(I153/112)/200*800</f>
        <v>2674.8964285714287</v>
      </c>
      <c r="L153" s="103" t="s">
        <v>23</v>
      </c>
      <c r="M153" s="110" t="s">
        <v>542</v>
      </c>
      <c r="N153" s="91" t="s">
        <v>543</v>
      </c>
    </row>
    <row r="154" spans="1:14" ht="168.75">
      <c r="A154" s="104">
        <v>1039145</v>
      </c>
      <c r="B154" s="104" t="s">
        <v>545</v>
      </c>
      <c r="C154" s="120" t="s">
        <v>533</v>
      </c>
      <c r="D154" s="104" t="s">
        <v>548</v>
      </c>
      <c r="E154" s="92" t="s">
        <v>33</v>
      </c>
      <c r="F154" s="92" t="s">
        <v>535</v>
      </c>
      <c r="G154" s="92" t="s">
        <v>549</v>
      </c>
      <c r="H154" s="92" t="s">
        <v>510</v>
      </c>
      <c r="I154" s="93">
        <v>74897.100000000006</v>
      </c>
      <c r="J154" s="93" t="s">
        <v>538</v>
      </c>
      <c r="K154" s="93">
        <f>(I154/112)/200*800</f>
        <v>2674.8964285714287</v>
      </c>
      <c r="L154" s="103" t="s">
        <v>23</v>
      </c>
      <c r="M154" s="110" t="s">
        <v>539</v>
      </c>
      <c r="N154" s="91" t="s">
        <v>540</v>
      </c>
    </row>
    <row r="155" spans="1:14" ht="135">
      <c r="A155" s="105" t="s">
        <v>550</v>
      </c>
      <c r="B155" s="104" t="s">
        <v>545</v>
      </c>
      <c r="C155" s="113" t="s">
        <v>533</v>
      </c>
      <c r="D155" s="113" t="s">
        <v>551</v>
      </c>
      <c r="E155" s="114" t="s">
        <v>33</v>
      </c>
      <c r="F155" s="114" t="s">
        <v>535</v>
      </c>
      <c r="G155" s="114" t="s">
        <v>552</v>
      </c>
      <c r="H155" s="114" t="s">
        <v>553</v>
      </c>
      <c r="I155" s="93">
        <v>74897.100000000006</v>
      </c>
      <c r="J155" s="2" t="s">
        <v>554</v>
      </c>
      <c r="K155" s="93">
        <f>+I155/112/200*800</f>
        <v>2674.8964285714287</v>
      </c>
      <c r="L155" s="103" t="s">
        <v>23</v>
      </c>
      <c r="M155" s="110" t="s">
        <v>542</v>
      </c>
      <c r="N155" s="91" t="s">
        <v>543</v>
      </c>
    </row>
    <row r="156" spans="1:14" ht="135">
      <c r="A156" s="105" t="s">
        <v>555</v>
      </c>
      <c r="B156" s="104" t="s">
        <v>545</v>
      </c>
      <c r="C156" s="113" t="s">
        <v>533</v>
      </c>
      <c r="D156" s="113" t="s">
        <v>556</v>
      </c>
      <c r="E156" s="114" t="s">
        <v>33</v>
      </c>
      <c r="F156" s="114" t="s">
        <v>535</v>
      </c>
      <c r="G156" s="114" t="s">
        <v>557</v>
      </c>
      <c r="H156" s="114" t="s">
        <v>558</v>
      </c>
      <c r="I156" s="93">
        <v>74897.100000000006</v>
      </c>
      <c r="J156" s="101" t="s">
        <v>538</v>
      </c>
      <c r="K156" s="98">
        <f>(I156/112)/200*800</f>
        <v>2674.8964285714287</v>
      </c>
      <c r="L156" s="103" t="s">
        <v>23</v>
      </c>
      <c r="M156" s="110" t="s">
        <v>542</v>
      </c>
      <c r="N156" s="91" t="s">
        <v>543</v>
      </c>
    </row>
    <row r="157" spans="1:14" ht="135">
      <c r="A157" s="105" t="s">
        <v>559</v>
      </c>
      <c r="B157" s="104" t="s">
        <v>545</v>
      </c>
      <c r="C157" s="113" t="s">
        <v>533</v>
      </c>
      <c r="D157" s="113" t="s">
        <v>556</v>
      </c>
      <c r="E157" s="114" t="s">
        <v>33</v>
      </c>
      <c r="F157" s="92" t="s">
        <v>1238</v>
      </c>
      <c r="G157" s="114" t="s">
        <v>560</v>
      </c>
      <c r="H157" s="114" t="s">
        <v>72</v>
      </c>
      <c r="I157" s="93">
        <v>118432.8</v>
      </c>
      <c r="J157" s="101" t="s">
        <v>538</v>
      </c>
      <c r="K157" s="98">
        <f>(I157/56)/400*800</f>
        <v>4229.7428571428572</v>
      </c>
      <c r="L157" s="103" t="s">
        <v>23</v>
      </c>
      <c r="M157" s="110" t="s">
        <v>542</v>
      </c>
      <c r="N157" s="91" t="s">
        <v>543</v>
      </c>
    </row>
    <row r="158" spans="1:14" ht="168.75">
      <c r="A158" s="105" t="s">
        <v>1298</v>
      </c>
      <c r="B158" s="104" t="s">
        <v>545</v>
      </c>
      <c r="C158" s="113" t="s">
        <v>533</v>
      </c>
      <c r="D158" s="113" t="s">
        <v>1299</v>
      </c>
      <c r="E158" s="114" t="s">
        <v>33</v>
      </c>
      <c r="F158" s="92" t="s">
        <v>535</v>
      </c>
      <c r="G158" s="114" t="s">
        <v>1300</v>
      </c>
      <c r="H158" s="114" t="s">
        <v>1301</v>
      </c>
      <c r="I158" s="93">
        <v>74897.100000000006</v>
      </c>
      <c r="J158" s="101" t="s">
        <v>538</v>
      </c>
      <c r="K158" s="98">
        <f>(I158/112)/200*800</f>
        <v>2674.8964285714287</v>
      </c>
      <c r="L158" s="103" t="s">
        <v>23</v>
      </c>
      <c r="M158" s="110" t="s">
        <v>539</v>
      </c>
      <c r="N158" s="91" t="s">
        <v>540</v>
      </c>
    </row>
    <row r="159" spans="1:14" ht="112.5">
      <c r="A159" s="90" t="s">
        <v>576</v>
      </c>
      <c r="B159" s="91" t="s">
        <v>581</v>
      </c>
      <c r="C159" s="91" t="s">
        <v>577</v>
      </c>
      <c r="D159" s="91" t="s">
        <v>578</v>
      </c>
      <c r="E159" s="92" t="s">
        <v>33</v>
      </c>
      <c r="F159" s="92" t="s">
        <v>1239</v>
      </c>
      <c r="G159" s="92" t="s">
        <v>1240</v>
      </c>
      <c r="H159" s="92" t="s">
        <v>1241</v>
      </c>
      <c r="I159" s="98">
        <v>59616.1</v>
      </c>
      <c r="J159" s="93" t="s">
        <v>538</v>
      </c>
      <c r="K159" s="93">
        <f>+(I159/30/ 200)*800</f>
        <v>7948.8133333333335</v>
      </c>
      <c r="L159" s="103" t="s">
        <v>23</v>
      </c>
      <c r="M159" s="91" t="s">
        <v>479</v>
      </c>
      <c r="N159" s="91" t="s">
        <v>480</v>
      </c>
    </row>
    <row r="160" spans="1:14" ht="112.5">
      <c r="A160" s="90" t="s">
        <v>579</v>
      </c>
      <c r="B160" s="91" t="s">
        <v>581</v>
      </c>
      <c r="C160" s="91" t="s">
        <v>577</v>
      </c>
      <c r="D160" s="91" t="s">
        <v>578</v>
      </c>
      <c r="E160" s="92" t="s">
        <v>33</v>
      </c>
      <c r="F160" s="92" t="s">
        <v>1242</v>
      </c>
      <c r="G160" s="92" t="s">
        <v>1240</v>
      </c>
      <c r="H160" s="92" t="s">
        <v>1241</v>
      </c>
      <c r="I160" s="93">
        <v>194465.5</v>
      </c>
      <c r="J160" s="93" t="s">
        <v>538</v>
      </c>
      <c r="K160" s="93">
        <f>+(I160/60/ 400)*800</f>
        <v>6482.1833333333334</v>
      </c>
      <c r="L160" s="103" t="s">
        <v>23</v>
      </c>
      <c r="M160" s="91" t="s">
        <v>479</v>
      </c>
      <c r="N160" s="91" t="s">
        <v>480</v>
      </c>
    </row>
    <row r="161" spans="1:14" ht="112.5">
      <c r="A161" s="90" t="s">
        <v>580</v>
      </c>
      <c r="B161" s="90" t="s">
        <v>581</v>
      </c>
      <c r="C161" s="91" t="s">
        <v>577</v>
      </c>
      <c r="D161" s="91" t="s">
        <v>582</v>
      </c>
      <c r="E161" s="92" t="s">
        <v>33</v>
      </c>
      <c r="F161" s="92" t="s">
        <v>583</v>
      </c>
      <c r="G161" s="92" t="s">
        <v>584</v>
      </c>
      <c r="H161" s="92" t="s">
        <v>585</v>
      </c>
      <c r="I161" s="98">
        <v>35690.699999999997</v>
      </c>
      <c r="J161" s="93" t="s">
        <v>538</v>
      </c>
      <c r="K161" s="93">
        <f>+(I161/200/ 30)*800</f>
        <v>4758.7599999999993</v>
      </c>
      <c r="L161" s="103" t="s">
        <v>23</v>
      </c>
      <c r="M161" s="91" t="s">
        <v>479</v>
      </c>
      <c r="N161" s="91" t="s">
        <v>480</v>
      </c>
    </row>
    <row r="162" spans="1:14" ht="112.5">
      <c r="A162" s="90">
        <v>1039268</v>
      </c>
      <c r="B162" s="90" t="s">
        <v>581</v>
      </c>
      <c r="C162" s="91" t="s">
        <v>577</v>
      </c>
      <c r="D162" s="91" t="s">
        <v>582</v>
      </c>
      <c r="E162" s="92" t="s">
        <v>33</v>
      </c>
      <c r="F162" s="92" t="s">
        <v>586</v>
      </c>
      <c r="G162" s="92" t="s">
        <v>584</v>
      </c>
      <c r="H162" s="92" t="s">
        <v>585</v>
      </c>
      <c r="I162" s="93">
        <v>142608</v>
      </c>
      <c r="J162" s="93" t="s">
        <v>538</v>
      </c>
      <c r="K162" s="93">
        <f>+(I162/60/ 400)*800</f>
        <v>4753.6000000000004</v>
      </c>
      <c r="L162" s="103" t="s">
        <v>23</v>
      </c>
      <c r="M162" s="91" t="s">
        <v>479</v>
      </c>
      <c r="N162" s="91" t="s">
        <v>480</v>
      </c>
    </row>
    <row r="163" spans="1:14" ht="112.5">
      <c r="A163" s="90" t="s">
        <v>587</v>
      </c>
      <c r="B163" s="96" t="s">
        <v>581</v>
      </c>
      <c r="C163" s="91" t="s">
        <v>577</v>
      </c>
      <c r="D163" s="91" t="s">
        <v>588</v>
      </c>
      <c r="E163" s="92" t="s">
        <v>33</v>
      </c>
      <c r="F163" s="92" t="s">
        <v>589</v>
      </c>
      <c r="G163" s="92" t="s">
        <v>557</v>
      </c>
      <c r="H163" s="92" t="s">
        <v>558</v>
      </c>
      <c r="I163" s="98">
        <v>35690.699999999997</v>
      </c>
      <c r="J163" s="93" t="s">
        <v>538</v>
      </c>
      <c r="K163" s="93">
        <f>+(I163/200/ 30)*800</f>
        <v>4758.7599999999993</v>
      </c>
      <c r="L163" s="103" t="s">
        <v>23</v>
      </c>
      <c r="M163" s="91" t="s">
        <v>479</v>
      </c>
      <c r="N163" s="91" t="s">
        <v>480</v>
      </c>
    </row>
    <row r="164" spans="1:14" ht="112.5">
      <c r="A164" s="90" t="s">
        <v>590</v>
      </c>
      <c r="B164" s="96" t="s">
        <v>581</v>
      </c>
      <c r="C164" s="91" t="s">
        <v>577</v>
      </c>
      <c r="D164" s="91" t="s">
        <v>588</v>
      </c>
      <c r="E164" s="92" t="s">
        <v>33</v>
      </c>
      <c r="F164" s="92" t="s">
        <v>591</v>
      </c>
      <c r="G164" s="92" t="s">
        <v>557</v>
      </c>
      <c r="H164" s="92" t="s">
        <v>558</v>
      </c>
      <c r="I164" s="93">
        <v>142608</v>
      </c>
      <c r="J164" s="93" t="s">
        <v>538</v>
      </c>
      <c r="K164" s="93">
        <f>+(I164/60/ 400)*800</f>
        <v>4753.6000000000004</v>
      </c>
      <c r="L164" s="103" t="s">
        <v>23</v>
      </c>
      <c r="M164" s="91" t="s">
        <v>479</v>
      </c>
      <c r="N164" s="91" t="s">
        <v>480</v>
      </c>
    </row>
    <row r="165" spans="1:14" ht="112.5">
      <c r="A165" s="90" t="s">
        <v>592</v>
      </c>
      <c r="B165" s="96" t="s">
        <v>581</v>
      </c>
      <c r="C165" s="91" t="s">
        <v>577</v>
      </c>
      <c r="D165" s="91" t="s">
        <v>593</v>
      </c>
      <c r="E165" s="92" t="s">
        <v>33</v>
      </c>
      <c r="F165" s="92" t="s">
        <v>589</v>
      </c>
      <c r="G165" s="92" t="s">
        <v>594</v>
      </c>
      <c r="H165" s="92" t="s">
        <v>595</v>
      </c>
      <c r="I165" s="98">
        <v>35690.699999999997</v>
      </c>
      <c r="J165" s="93" t="s">
        <v>538</v>
      </c>
      <c r="K165" s="93">
        <f>+(I165/30/ 200)*800</f>
        <v>4758.7599999999993</v>
      </c>
      <c r="L165" s="103" t="s">
        <v>23</v>
      </c>
      <c r="M165" s="91" t="s">
        <v>479</v>
      </c>
      <c r="N165" s="91" t="s">
        <v>480</v>
      </c>
    </row>
    <row r="166" spans="1:14" ht="112.5">
      <c r="A166" s="90" t="s">
        <v>596</v>
      </c>
      <c r="B166" s="96" t="s">
        <v>581</v>
      </c>
      <c r="C166" s="91" t="s">
        <v>577</v>
      </c>
      <c r="D166" s="91" t="s">
        <v>593</v>
      </c>
      <c r="E166" s="92" t="s">
        <v>33</v>
      </c>
      <c r="F166" s="92" t="s">
        <v>597</v>
      </c>
      <c r="G166" s="92" t="s">
        <v>594</v>
      </c>
      <c r="H166" s="92" t="s">
        <v>595</v>
      </c>
      <c r="I166" s="98">
        <v>35690.699999999997</v>
      </c>
      <c r="J166" s="93" t="s">
        <v>538</v>
      </c>
      <c r="K166" s="93">
        <f>+(I166/30/ 200)*800</f>
        <v>4758.7599999999993</v>
      </c>
      <c r="L166" s="103" t="s">
        <v>23</v>
      </c>
      <c r="M166" s="91" t="s">
        <v>479</v>
      </c>
      <c r="N166" s="91" t="s">
        <v>480</v>
      </c>
    </row>
    <row r="167" spans="1:14" ht="112.5">
      <c r="A167" s="79" t="s">
        <v>598</v>
      </c>
      <c r="B167" s="96" t="s">
        <v>581</v>
      </c>
      <c r="C167" s="91" t="s">
        <v>577</v>
      </c>
      <c r="D167" s="91" t="s">
        <v>593</v>
      </c>
      <c r="E167" s="92" t="s">
        <v>33</v>
      </c>
      <c r="F167" s="92" t="s">
        <v>591</v>
      </c>
      <c r="G167" s="92" t="s">
        <v>594</v>
      </c>
      <c r="H167" s="92" t="s">
        <v>595</v>
      </c>
      <c r="I167" s="12">
        <v>142608</v>
      </c>
      <c r="J167" s="93" t="s">
        <v>538</v>
      </c>
      <c r="K167" s="93">
        <f>+(I167/60/ 400)*800</f>
        <v>4753.6000000000004</v>
      </c>
      <c r="L167" s="103" t="s">
        <v>23</v>
      </c>
      <c r="M167" s="91" t="s">
        <v>479</v>
      </c>
      <c r="N167" s="91" t="s">
        <v>480</v>
      </c>
    </row>
    <row r="168" spans="1:14" ht="112.5">
      <c r="A168" s="79" t="s">
        <v>599</v>
      </c>
      <c r="B168" s="80" t="s">
        <v>581</v>
      </c>
      <c r="C168" s="43" t="s">
        <v>577</v>
      </c>
      <c r="D168" s="43" t="s">
        <v>593</v>
      </c>
      <c r="E168" s="44" t="s">
        <v>33</v>
      </c>
      <c r="F168" s="44" t="s">
        <v>600</v>
      </c>
      <c r="G168" s="44" t="s">
        <v>594</v>
      </c>
      <c r="H168" s="44" t="s">
        <v>595</v>
      </c>
      <c r="I168" s="12">
        <v>71304</v>
      </c>
      <c r="J168" s="93" t="s">
        <v>538</v>
      </c>
      <c r="K168" s="93">
        <f>+(I168/30/ 400)*800</f>
        <v>4753.6000000000004</v>
      </c>
      <c r="L168" s="103" t="s">
        <v>23</v>
      </c>
      <c r="M168" s="91" t="s">
        <v>479</v>
      </c>
      <c r="N168" s="91" t="s">
        <v>480</v>
      </c>
    </row>
    <row r="169" spans="1:14" ht="112.5">
      <c r="A169" s="90">
        <v>1039259</v>
      </c>
      <c r="B169" s="96" t="s">
        <v>581</v>
      </c>
      <c r="C169" s="91" t="s">
        <v>577</v>
      </c>
      <c r="D169" s="91" t="s">
        <v>593</v>
      </c>
      <c r="E169" s="92" t="s">
        <v>33</v>
      </c>
      <c r="F169" s="92" t="s">
        <v>601</v>
      </c>
      <c r="G169" s="92" t="s">
        <v>594</v>
      </c>
      <c r="H169" s="92" t="s">
        <v>595</v>
      </c>
      <c r="I169" s="93">
        <v>142608</v>
      </c>
      <c r="J169" s="93" t="s">
        <v>538</v>
      </c>
      <c r="K169" s="93">
        <f>+(I169/60/ 400)*800</f>
        <v>4753.6000000000004</v>
      </c>
      <c r="L169" s="103" t="s">
        <v>23</v>
      </c>
      <c r="M169" s="91" t="s">
        <v>479</v>
      </c>
      <c r="N169" s="91" t="s">
        <v>480</v>
      </c>
    </row>
    <row r="170" spans="1:14" ht="112.5">
      <c r="A170" s="90" t="s">
        <v>1189</v>
      </c>
      <c r="B170" s="90" t="s">
        <v>581</v>
      </c>
      <c r="C170" s="90" t="s">
        <v>577</v>
      </c>
      <c r="D170" s="90" t="s">
        <v>1198</v>
      </c>
      <c r="E170" s="10" t="s">
        <v>33</v>
      </c>
      <c r="F170" s="10" t="s">
        <v>589</v>
      </c>
      <c r="G170" s="10" t="s">
        <v>1190</v>
      </c>
      <c r="H170" s="102" t="s">
        <v>595</v>
      </c>
      <c r="I170" s="93">
        <v>35690.699999999997</v>
      </c>
      <c r="J170" s="93" t="s">
        <v>538</v>
      </c>
      <c r="K170" s="93">
        <f>+I170/(30*200)*800</f>
        <v>4758.7599999999993</v>
      </c>
      <c r="L170" s="103" t="s">
        <v>23</v>
      </c>
      <c r="M170" s="91" t="s">
        <v>479</v>
      </c>
      <c r="N170" s="91" t="s">
        <v>480</v>
      </c>
    </row>
    <row r="171" spans="1:14" ht="112.5">
      <c r="A171" s="90" t="s">
        <v>1191</v>
      </c>
      <c r="B171" s="90" t="s">
        <v>581</v>
      </c>
      <c r="C171" s="90" t="s">
        <v>577</v>
      </c>
      <c r="D171" s="90" t="s">
        <v>1198</v>
      </c>
      <c r="E171" s="10" t="s">
        <v>33</v>
      </c>
      <c r="F171" s="10" t="s">
        <v>591</v>
      </c>
      <c r="G171" s="10" t="s">
        <v>1190</v>
      </c>
      <c r="H171" s="102" t="s">
        <v>595</v>
      </c>
      <c r="I171" s="93">
        <v>142608</v>
      </c>
      <c r="J171" s="93" t="s">
        <v>538</v>
      </c>
      <c r="K171" s="93">
        <f>+I171/(60*400)*800</f>
        <v>4753.6000000000004</v>
      </c>
      <c r="L171" s="103" t="s">
        <v>23</v>
      </c>
      <c r="M171" s="91" t="s">
        <v>479</v>
      </c>
      <c r="N171" s="91" t="s">
        <v>480</v>
      </c>
    </row>
    <row r="172" spans="1:14" ht="112.5">
      <c r="A172" s="90" t="s">
        <v>1192</v>
      </c>
      <c r="B172" s="90" t="s">
        <v>581</v>
      </c>
      <c r="C172" s="40" t="s">
        <v>577</v>
      </c>
      <c r="D172" s="90" t="s">
        <v>1199</v>
      </c>
      <c r="E172" s="41" t="s">
        <v>33</v>
      </c>
      <c r="F172" s="102" t="s">
        <v>589</v>
      </c>
      <c r="G172" s="41" t="s">
        <v>1193</v>
      </c>
      <c r="H172" s="41" t="s">
        <v>1194</v>
      </c>
      <c r="I172" s="93">
        <v>35690.699999999997</v>
      </c>
      <c r="J172" s="93" t="s">
        <v>1195</v>
      </c>
      <c r="K172" s="93">
        <f>I172/30/200*800</f>
        <v>4758.7599999999993</v>
      </c>
      <c r="L172" s="103" t="s">
        <v>23</v>
      </c>
      <c r="M172" s="91" t="s">
        <v>479</v>
      </c>
      <c r="N172" s="91" t="s">
        <v>480</v>
      </c>
    </row>
    <row r="173" spans="1:14" ht="112.5">
      <c r="A173" s="90" t="s">
        <v>1196</v>
      </c>
      <c r="B173" s="90" t="s">
        <v>581</v>
      </c>
      <c r="C173" s="40" t="s">
        <v>577</v>
      </c>
      <c r="D173" s="90" t="s">
        <v>1199</v>
      </c>
      <c r="E173" s="41" t="s">
        <v>33</v>
      </c>
      <c r="F173" s="102" t="s">
        <v>1197</v>
      </c>
      <c r="G173" s="41" t="s">
        <v>1193</v>
      </c>
      <c r="H173" s="41" t="s">
        <v>1194</v>
      </c>
      <c r="I173" s="93">
        <v>71304</v>
      </c>
      <c r="J173" s="93" t="s">
        <v>1195</v>
      </c>
      <c r="K173" s="93">
        <f>I173/30/400*800</f>
        <v>4753.6000000000004</v>
      </c>
      <c r="L173" s="103" t="s">
        <v>23</v>
      </c>
      <c r="M173" s="91" t="s">
        <v>479</v>
      </c>
      <c r="N173" s="91" t="s">
        <v>480</v>
      </c>
    </row>
    <row r="174" spans="1:14" ht="112.5">
      <c r="A174" s="90" t="s">
        <v>1302</v>
      </c>
      <c r="B174" s="90" t="s">
        <v>581</v>
      </c>
      <c r="C174" s="40" t="s">
        <v>577</v>
      </c>
      <c r="D174" s="90" t="s">
        <v>1303</v>
      </c>
      <c r="E174" s="41" t="s">
        <v>33</v>
      </c>
      <c r="F174" s="102" t="s">
        <v>589</v>
      </c>
      <c r="G174" s="41" t="s">
        <v>1304</v>
      </c>
      <c r="H174" s="41" t="s">
        <v>188</v>
      </c>
      <c r="I174" s="93">
        <v>35690.699999999997</v>
      </c>
      <c r="J174" s="93" t="s">
        <v>538</v>
      </c>
      <c r="K174" s="93">
        <f>(I174/30)/200*800</f>
        <v>4758.7599999999993</v>
      </c>
      <c r="L174" s="103" t="s">
        <v>23</v>
      </c>
      <c r="M174" s="91" t="s">
        <v>479</v>
      </c>
      <c r="N174" s="91" t="s">
        <v>480</v>
      </c>
    </row>
    <row r="175" spans="1:14" ht="112.5">
      <c r="A175" s="90" t="s">
        <v>1305</v>
      </c>
      <c r="B175" s="90" t="s">
        <v>581</v>
      </c>
      <c r="C175" s="40" t="s">
        <v>577</v>
      </c>
      <c r="D175" s="90" t="s">
        <v>1303</v>
      </c>
      <c r="E175" s="41" t="s">
        <v>33</v>
      </c>
      <c r="F175" s="102" t="s">
        <v>591</v>
      </c>
      <c r="G175" s="41" t="s">
        <v>1304</v>
      </c>
      <c r="H175" s="41" t="s">
        <v>188</v>
      </c>
      <c r="I175" s="93">
        <v>142608</v>
      </c>
      <c r="J175" s="93" t="s">
        <v>538</v>
      </c>
      <c r="K175" s="93">
        <f>(I175/60)/400*800</f>
        <v>4753.6000000000004</v>
      </c>
      <c r="L175" s="103" t="s">
        <v>23</v>
      </c>
      <c r="M175" s="91" t="s">
        <v>479</v>
      </c>
      <c r="N175" s="91" t="s">
        <v>480</v>
      </c>
    </row>
    <row r="176" spans="1:14" ht="112.5">
      <c r="A176" s="90" t="s">
        <v>1306</v>
      </c>
      <c r="B176" s="90" t="s">
        <v>581</v>
      </c>
      <c r="C176" s="40" t="s">
        <v>577</v>
      </c>
      <c r="D176" s="90" t="s">
        <v>1307</v>
      </c>
      <c r="E176" s="41" t="s">
        <v>33</v>
      </c>
      <c r="F176" s="102" t="s">
        <v>583</v>
      </c>
      <c r="G176" s="41" t="s">
        <v>1304</v>
      </c>
      <c r="H176" s="41" t="s">
        <v>188</v>
      </c>
      <c r="I176" s="93">
        <v>35690.699999999997</v>
      </c>
      <c r="J176" s="93" t="s">
        <v>538</v>
      </c>
      <c r="K176" s="93">
        <f>(I176/30)/200*800</f>
        <v>4758.7599999999993</v>
      </c>
      <c r="L176" s="103" t="s">
        <v>23</v>
      </c>
      <c r="M176" s="91" t="s">
        <v>479</v>
      </c>
      <c r="N176" s="91" t="s">
        <v>480</v>
      </c>
    </row>
    <row r="177" spans="1:14" ht="112.5">
      <c r="A177" s="90" t="s">
        <v>1308</v>
      </c>
      <c r="B177" s="90" t="s">
        <v>581</v>
      </c>
      <c r="C177" s="40" t="s">
        <v>577</v>
      </c>
      <c r="D177" s="90" t="s">
        <v>1307</v>
      </c>
      <c r="E177" s="41" t="s">
        <v>33</v>
      </c>
      <c r="F177" s="102" t="s">
        <v>586</v>
      </c>
      <c r="G177" s="41" t="s">
        <v>1304</v>
      </c>
      <c r="H177" s="41" t="s">
        <v>188</v>
      </c>
      <c r="I177" s="93">
        <v>142608</v>
      </c>
      <c r="J177" s="93" t="s">
        <v>538</v>
      </c>
      <c r="K177" s="93">
        <f>(I177/60)/400*800</f>
        <v>4753.6000000000004</v>
      </c>
      <c r="L177" s="103" t="s">
        <v>23</v>
      </c>
      <c r="M177" s="91" t="s">
        <v>479</v>
      </c>
      <c r="N177" s="91" t="s">
        <v>480</v>
      </c>
    </row>
    <row r="178" spans="1:14" ht="112.5">
      <c r="A178" s="90" t="s">
        <v>561</v>
      </c>
      <c r="B178" s="91" t="s">
        <v>562</v>
      </c>
      <c r="C178" s="91" t="s">
        <v>563</v>
      </c>
      <c r="D178" s="91" t="s">
        <v>564</v>
      </c>
      <c r="E178" s="92" t="s">
        <v>33</v>
      </c>
      <c r="F178" s="92" t="s">
        <v>565</v>
      </c>
      <c r="G178" s="92" t="s">
        <v>566</v>
      </c>
      <c r="H178" s="92" t="s">
        <v>567</v>
      </c>
      <c r="I178" s="98">
        <v>95460</v>
      </c>
      <c r="J178" s="93" t="s">
        <v>23</v>
      </c>
      <c r="K178" s="93" t="s">
        <v>23</v>
      </c>
      <c r="L178" s="103" t="s">
        <v>23</v>
      </c>
      <c r="M178" s="91" t="s">
        <v>568</v>
      </c>
      <c r="N178" s="91" t="s">
        <v>569</v>
      </c>
    </row>
    <row r="179" spans="1:14" ht="213.75">
      <c r="A179" s="90" t="s">
        <v>570</v>
      </c>
      <c r="B179" s="91" t="s">
        <v>571</v>
      </c>
      <c r="C179" s="91" t="s">
        <v>572</v>
      </c>
      <c r="D179" s="91" t="s">
        <v>573</v>
      </c>
      <c r="E179" s="92" t="s">
        <v>235</v>
      </c>
      <c r="F179" s="92" t="s">
        <v>535</v>
      </c>
      <c r="G179" s="92" t="s">
        <v>574</v>
      </c>
      <c r="H179" s="92" t="s">
        <v>265</v>
      </c>
      <c r="I179" s="98">
        <v>240530.1</v>
      </c>
      <c r="J179" s="93" t="s">
        <v>1309</v>
      </c>
      <c r="K179" s="93">
        <f>(I179/112)/200*600</f>
        <v>6442.7705357142859</v>
      </c>
      <c r="L179" s="103" t="s">
        <v>23</v>
      </c>
      <c r="M179" s="91" t="s">
        <v>575</v>
      </c>
      <c r="N179" s="91" t="s">
        <v>1225</v>
      </c>
    </row>
    <row r="180" spans="1:14" ht="213.75">
      <c r="A180" s="90" t="s">
        <v>1310</v>
      </c>
      <c r="B180" s="91" t="s">
        <v>1311</v>
      </c>
      <c r="C180" s="91" t="s">
        <v>572</v>
      </c>
      <c r="D180" s="91" t="s">
        <v>1312</v>
      </c>
      <c r="E180" s="92" t="s">
        <v>235</v>
      </c>
      <c r="F180" s="92" t="s">
        <v>535</v>
      </c>
      <c r="G180" s="92" t="s">
        <v>1313</v>
      </c>
      <c r="H180" s="92" t="s">
        <v>1314</v>
      </c>
      <c r="I180" s="98">
        <v>175209.7</v>
      </c>
      <c r="J180" s="93" t="s">
        <v>1309</v>
      </c>
      <c r="K180" s="93">
        <f>(I180/112)/200*600</f>
        <v>4693.1169642857139</v>
      </c>
      <c r="L180" s="103" t="s">
        <v>23</v>
      </c>
      <c r="M180" s="91" t="s">
        <v>575</v>
      </c>
      <c r="N180" s="91" t="s">
        <v>1225</v>
      </c>
    </row>
    <row r="181" spans="1:14" ht="101.25">
      <c r="A181" s="90" t="s">
        <v>602</v>
      </c>
      <c r="B181" s="91" t="s">
        <v>603</v>
      </c>
      <c r="C181" s="91" t="s">
        <v>604</v>
      </c>
      <c r="D181" s="91" t="s">
        <v>605</v>
      </c>
      <c r="E181" s="92" t="s">
        <v>33</v>
      </c>
      <c r="F181" s="92" t="s">
        <v>606</v>
      </c>
      <c r="G181" s="92" t="s">
        <v>607</v>
      </c>
      <c r="H181" s="92" t="s">
        <v>72</v>
      </c>
      <c r="I181" s="98">
        <v>179208</v>
      </c>
      <c r="J181" s="93" t="s">
        <v>23</v>
      </c>
      <c r="K181" s="93" t="s">
        <v>23</v>
      </c>
      <c r="L181" s="103" t="s">
        <v>23</v>
      </c>
      <c r="M181" s="91" t="s">
        <v>408</v>
      </c>
      <c r="N181" s="91" t="s">
        <v>409</v>
      </c>
    </row>
    <row r="182" spans="1:14" ht="101.25">
      <c r="A182" s="90" t="s">
        <v>608</v>
      </c>
      <c r="B182" s="91" t="s">
        <v>603</v>
      </c>
      <c r="C182" s="91" t="s">
        <v>604</v>
      </c>
      <c r="D182" s="91" t="s">
        <v>605</v>
      </c>
      <c r="E182" s="92" t="s">
        <v>33</v>
      </c>
      <c r="F182" s="92" t="s">
        <v>609</v>
      </c>
      <c r="G182" s="92" t="s">
        <v>607</v>
      </c>
      <c r="H182" s="92" t="s">
        <v>72</v>
      </c>
      <c r="I182" s="98">
        <v>175687.1</v>
      </c>
      <c r="J182" s="93" t="s">
        <v>23</v>
      </c>
      <c r="K182" s="93" t="s">
        <v>23</v>
      </c>
      <c r="L182" s="103" t="s">
        <v>23</v>
      </c>
      <c r="M182" s="91" t="s">
        <v>408</v>
      </c>
      <c r="N182" s="91" t="s">
        <v>204</v>
      </c>
    </row>
    <row r="183" spans="1:14" ht="101.25">
      <c r="A183" s="90">
        <v>1039278</v>
      </c>
      <c r="B183" s="91" t="s">
        <v>603</v>
      </c>
      <c r="C183" s="91" t="s">
        <v>604</v>
      </c>
      <c r="D183" s="91" t="s">
        <v>605</v>
      </c>
      <c r="E183" s="92" t="s">
        <v>33</v>
      </c>
      <c r="F183" s="92" t="s">
        <v>610</v>
      </c>
      <c r="G183" s="92" t="s">
        <v>607</v>
      </c>
      <c r="H183" s="92" t="s">
        <v>72</v>
      </c>
      <c r="I183" s="98">
        <v>175687.1</v>
      </c>
      <c r="J183" s="93" t="s">
        <v>23</v>
      </c>
      <c r="K183" s="93" t="s">
        <v>23</v>
      </c>
      <c r="L183" s="103" t="s">
        <v>23</v>
      </c>
      <c r="M183" s="91" t="s">
        <v>408</v>
      </c>
      <c r="N183" s="91" t="s">
        <v>204</v>
      </c>
    </row>
    <row r="184" spans="1:14" ht="112.5">
      <c r="A184" s="90" t="s">
        <v>617</v>
      </c>
      <c r="B184" s="91" t="s">
        <v>618</v>
      </c>
      <c r="C184" s="91" t="s">
        <v>619</v>
      </c>
      <c r="D184" s="91" t="s">
        <v>620</v>
      </c>
      <c r="E184" s="92" t="s">
        <v>621</v>
      </c>
      <c r="F184" s="92" t="s">
        <v>622</v>
      </c>
      <c r="G184" s="92" t="s">
        <v>574</v>
      </c>
      <c r="H184" s="92" t="s">
        <v>265</v>
      </c>
      <c r="I184" s="98">
        <v>160892.29999999999</v>
      </c>
      <c r="J184" s="93" t="s">
        <v>23</v>
      </c>
      <c r="K184" s="93" t="s">
        <v>23</v>
      </c>
      <c r="L184" s="103" t="s">
        <v>23</v>
      </c>
      <c r="M184" s="91" t="s">
        <v>623</v>
      </c>
      <c r="N184" s="91" t="s">
        <v>624</v>
      </c>
    </row>
    <row r="185" spans="1:14" ht="112.5">
      <c r="A185" s="90" t="s">
        <v>625</v>
      </c>
      <c r="B185" s="91" t="s">
        <v>618</v>
      </c>
      <c r="C185" s="91" t="s">
        <v>619</v>
      </c>
      <c r="D185" s="91" t="s">
        <v>620</v>
      </c>
      <c r="E185" s="92" t="s">
        <v>621</v>
      </c>
      <c r="F185" s="92" t="s">
        <v>626</v>
      </c>
      <c r="G185" s="92" t="s">
        <v>574</v>
      </c>
      <c r="H185" s="92" t="s">
        <v>265</v>
      </c>
      <c r="I185" s="98">
        <v>319422.59999999998</v>
      </c>
      <c r="J185" s="93" t="s">
        <v>23</v>
      </c>
      <c r="K185" s="93" t="s">
        <v>23</v>
      </c>
      <c r="L185" s="103" t="s">
        <v>23</v>
      </c>
      <c r="M185" s="91" t="s">
        <v>623</v>
      </c>
      <c r="N185" s="91" t="s">
        <v>624</v>
      </c>
    </row>
    <row r="186" spans="1:14" ht="112.5">
      <c r="A186" s="90" t="s">
        <v>627</v>
      </c>
      <c r="B186" s="91" t="s">
        <v>618</v>
      </c>
      <c r="C186" s="91" t="s">
        <v>619</v>
      </c>
      <c r="D186" s="91" t="s">
        <v>620</v>
      </c>
      <c r="E186" s="92" t="s">
        <v>621</v>
      </c>
      <c r="F186" s="92" t="s">
        <v>628</v>
      </c>
      <c r="G186" s="92" t="s">
        <v>574</v>
      </c>
      <c r="H186" s="92" t="s">
        <v>265</v>
      </c>
      <c r="I186" s="98">
        <v>319422.59999999998</v>
      </c>
      <c r="J186" s="93" t="s">
        <v>23</v>
      </c>
      <c r="K186" s="93" t="s">
        <v>23</v>
      </c>
      <c r="L186" s="103" t="s">
        <v>23</v>
      </c>
      <c r="M186" s="91" t="s">
        <v>623</v>
      </c>
      <c r="N186" s="91" t="s">
        <v>624</v>
      </c>
    </row>
    <row r="187" spans="1:14" ht="146.25">
      <c r="A187" s="116" t="s">
        <v>629</v>
      </c>
      <c r="B187" s="113" t="s">
        <v>630</v>
      </c>
      <c r="C187" s="113" t="s">
        <v>631</v>
      </c>
      <c r="D187" s="113" t="s">
        <v>632</v>
      </c>
      <c r="E187" s="114" t="s">
        <v>235</v>
      </c>
      <c r="F187" s="114" t="s">
        <v>633</v>
      </c>
      <c r="G187" s="92" t="s">
        <v>634</v>
      </c>
      <c r="H187" s="92" t="s">
        <v>635</v>
      </c>
      <c r="I187" s="128">
        <v>558307.4</v>
      </c>
      <c r="J187" s="125" t="s">
        <v>23</v>
      </c>
      <c r="K187" s="128" t="s">
        <v>23</v>
      </c>
      <c r="L187" s="125" t="s">
        <v>23</v>
      </c>
      <c r="M187" s="91" t="s">
        <v>636</v>
      </c>
      <c r="N187" s="91" t="s">
        <v>637</v>
      </c>
    </row>
    <row r="188" spans="1:14" ht="146.25">
      <c r="A188" s="116">
        <v>1039658</v>
      </c>
      <c r="B188" s="113" t="s">
        <v>638</v>
      </c>
      <c r="C188" s="113" t="s">
        <v>639</v>
      </c>
      <c r="D188" s="113" t="s">
        <v>640</v>
      </c>
      <c r="E188" s="114" t="s">
        <v>33</v>
      </c>
      <c r="F188" s="114" t="s">
        <v>641</v>
      </c>
      <c r="G188" s="92" t="s">
        <v>642</v>
      </c>
      <c r="H188" s="92" t="s">
        <v>643</v>
      </c>
      <c r="I188" s="98">
        <v>410251</v>
      </c>
      <c r="J188" s="125" t="s">
        <v>23</v>
      </c>
      <c r="K188" s="128" t="s">
        <v>23</v>
      </c>
      <c r="L188" s="125" t="s">
        <v>23</v>
      </c>
      <c r="M188" s="91" t="s">
        <v>644</v>
      </c>
      <c r="N188" s="91" t="s">
        <v>637</v>
      </c>
    </row>
    <row r="189" spans="1:14" ht="90">
      <c r="A189" s="127" t="s">
        <v>645</v>
      </c>
      <c r="B189" s="124" t="s">
        <v>646</v>
      </c>
      <c r="C189" s="124" t="s">
        <v>647</v>
      </c>
      <c r="D189" s="124" t="s">
        <v>648</v>
      </c>
      <c r="E189" s="125" t="s">
        <v>33</v>
      </c>
      <c r="F189" s="114" t="s">
        <v>649</v>
      </c>
      <c r="G189" s="114" t="s">
        <v>650</v>
      </c>
      <c r="H189" s="114" t="s">
        <v>651</v>
      </c>
      <c r="I189" s="128">
        <v>469121.9</v>
      </c>
      <c r="J189" s="119" t="s">
        <v>23</v>
      </c>
      <c r="K189" s="119" t="s">
        <v>23</v>
      </c>
      <c r="L189" s="119" t="s">
        <v>23</v>
      </c>
      <c r="M189" s="113" t="s">
        <v>614</v>
      </c>
      <c r="N189" s="91" t="s">
        <v>615</v>
      </c>
    </row>
    <row r="190" spans="1:14" ht="90">
      <c r="A190" s="127" t="s">
        <v>653</v>
      </c>
      <c r="B190" s="124" t="s">
        <v>646</v>
      </c>
      <c r="C190" s="124" t="s">
        <v>647</v>
      </c>
      <c r="D190" s="124" t="s">
        <v>648</v>
      </c>
      <c r="E190" s="125" t="s">
        <v>33</v>
      </c>
      <c r="F190" s="114" t="s">
        <v>654</v>
      </c>
      <c r="G190" s="114" t="s">
        <v>650</v>
      </c>
      <c r="H190" s="114" t="s">
        <v>651</v>
      </c>
      <c r="I190" s="128">
        <v>469121.9</v>
      </c>
      <c r="J190" s="119" t="s">
        <v>23</v>
      </c>
      <c r="K190" s="119" t="s">
        <v>23</v>
      </c>
      <c r="L190" s="119" t="s">
        <v>23</v>
      </c>
      <c r="M190" s="113" t="s">
        <v>614</v>
      </c>
      <c r="N190" s="91" t="s">
        <v>615</v>
      </c>
    </row>
    <row r="191" spans="1:14" ht="90">
      <c r="A191" s="127" t="s">
        <v>655</v>
      </c>
      <c r="B191" s="124" t="s">
        <v>646</v>
      </c>
      <c r="C191" s="124" t="s">
        <v>647</v>
      </c>
      <c r="D191" s="124" t="s">
        <v>648</v>
      </c>
      <c r="E191" s="125" t="s">
        <v>33</v>
      </c>
      <c r="F191" s="114" t="s">
        <v>656</v>
      </c>
      <c r="G191" s="114" t="s">
        <v>650</v>
      </c>
      <c r="H191" s="114" t="s">
        <v>651</v>
      </c>
      <c r="I191" s="128">
        <v>469121.9</v>
      </c>
      <c r="J191" s="119" t="s">
        <v>23</v>
      </c>
      <c r="K191" s="119" t="s">
        <v>23</v>
      </c>
      <c r="L191" s="119" t="s">
        <v>23</v>
      </c>
      <c r="M191" s="113" t="s">
        <v>614</v>
      </c>
      <c r="N191" s="91" t="s">
        <v>615</v>
      </c>
    </row>
    <row r="192" spans="1:14" ht="101.25">
      <c r="A192" s="90" t="s">
        <v>667</v>
      </c>
      <c r="B192" s="91" t="s">
        <v>668</v>
      </c>
      <c r="C192" s="91" t="s">
        <v>669</v>
      </c>
      <c r="D192" s="91" t="s">
        <v>670</v>
      </c>
      <c r="E192" s="92" t="s">
        <v>235</v>
      </c>
      <c r="F192" s="92" t="s">
        <v>671</v>
      </c>
      <c r="G192" s="92" t="s">
        <v>672</v>
      </c>
      <c r="H192" s="92" t="s">
        <v>673</v>
      </c>
      <c r="I192" s="98">
        <v>489458.7</v>
      </c>
      <c r="J192" s="101" t="s">
        <v>23</v>
      </c>
      <c r="K192" s="98" t="s">
        <v>23</v>
      </c>
      <c r="L192" s="125" t="s">
        <v>23</v>
      </c>
      <c r="M192" s="113" t="s">
        <v>674</v>
      </c>
      <c r="N192" s="34" t="s">
        <v>204</v>
      </c>
    </row>
    <row r="193" spans="1:14" ht="157.5">
      <c r="A193" s="91">
        <v>1039502</v>
      </c>
      <c r="B193" s="91" t="s">
        <v>675</v>
      </c>
      <c r="C193" s="91" t="s">
        <v>676</v>
      </c>
      <c r="D193" s="91" t="s">
        <v>677</v>
      </c>
      <c r="E193" s="92" t="s">
        <v>33</v>
      </c>
      <c r="F193" s="92" t="s">
        <v>678</v>
      </c>
      <c r="G193" s="92" t="s">
        <v>679</v>
      </c>
      <c r="H193" s="92" t="s">
        <v>680</v>
      </c>
      <c r="I193" s="98">
        <v>218747.4</v>
      </c>
      <c r="J193" s="93" t="s">
        <v>23</v>
      </c>
      <c r="K193" s="93" t="s">
        <v>23</v>
      </c>
      <c r="L193" s="93" t="s">
        <v>23</v>
      </c>
      <c r="M193" s="91" t="s">
        <v>681</v>
      </c>
      <c r="N193" s="91" t="s">
        <v>682</v>
      </c>
    </row>
    <row r="194" spans="1:14" ht="101.25">
      <c r="A194" s="104">
        <v>1039300</v>
      </c>
      <c r="B194" s="104" t="s">
        <v>683</v>
      </c>
      <c r="C194" s="111" t="s">
        <v>684</v>
      </c>
      <c r="D194" s="104" t="s">
        <v>685</v>
      </c>
      <c r="E194" s="45" t="s">
        <v>33</v>
      </c>
      <c r="F194" s="45" t="s">
        <v>686</v>
      </c>
      <c r="G194" s="92" t="s">
        <v>687</v>
      </c>
      <c r="H194" s="92" t="s">
        <v>63</v>
      </c>
      <c r="I194" s="98">
        <v>250274.9</v>
      </c>
      <c r="J194" s="93" t="s">
        <v>23</v>
      </c>
      <c r="K194" s="93" t="s">
        <v>23</v>
      </c>
      <c r="L194" s="93" t="s">
        <v>23</v>
      </c>
      <c r="M194" s="111" t="s">
        <v>674</v>
      </c>
      <c r="N194" s="111" t="s">
        <v>204</v>
      </c>
    </row>
    <row r="195" spans="1:14" ht="157.5">
      <c r="A195" s="90">
        <v>1069140</v>
      </c>
      <c r="B195" s="91" t="s">
        <v>1253</v>
      </c>
      <c r="C195" s="91" t="s">
        <v>697</v>
      </c>
      <c r="D195" s="91" t="s">
        <v>698</v>
      </c>
      <c r="E195" s="92" t="s">
        <v>699</v>
      </c>
      <c r="F195" s="92" t="s">
        <v>700</v>
      </c>
      <c r="G195" s="92" t="s">
        <v>701</v>
      </c>
      <c r="H195" s="92" t="s">
        <v>702</v>
      </c>
      <c r="I195" s="98">
        <v>30100.5</v>
      </c>
      <c r="J195" s="93" t="s">
        <v>23</v>
      </c>
      <c r="K195" s="93" t="s">
        <v>23</v>
      </c>
      <c r="L195" s="103" t="s">
        <v>23</v>
      </c>
      <c r="M195" s="91" t="s">
        <v>703</v>
      </c>
      <c r="N195" s="91" t="s">
        <v>704</v>
      </c>
    </row>
    <row r="196" spans="1:14" ht="135">
      <c r="A196" s="81">
        <v>1039992</v>
      </c>
      <c r="B196" s="81" t="s">
        <v>688</v>
      </c>
      <c r="C196" s="66" t="s">
        <v>689</v>
      </c>
      <c r="D196" s="68" t="s">
        <v>690</v>
      </c>
      <c r="E196" s="46" t="s">
        <v>235</v>
      </c>
      <c r="F196" s="46" t="s">
        <v>691</v>
      </c>
      <c r="G196" s="46" t="s">
        <v>692</v>
      </c>
      <c r="H196" s="46" t="s">
        <v>72</v>
      </c>
      <c r="I196" s="98">
        <v>137000.70000000001</v>
      </c>
      <c r="J196" s="101" t="s">
        <v>23</v>
      </c>
      <c r="K196" s="101" t="s">
        <v>23</v>
      </c>
      <c r="L196" s="101" t="s">
        <v>23</v>
      </c>
      <c r="M196" s="32" t="s">
        <v>693</v>
      </c>
      <c r="N196" s="32" t="s">
        <v>694</v>
      </c>
    </row>
    <row r="197" spans="1:14" ht="135">
      <c r="A197" s="81" t="s">
        <v>695</v>
      </c>
      <c r="B197" s="81" t="s">
        <v>688</v>
      </c>
      <c r="C197" s="66" t="s">
        <v>689</v>
      </c>
      <c r="D197" s="68" t="s">
        <v>690</v>
      </c>
      <c r="E197" s="46" t="s">
        <v>235</v>
      </c>
      <c r="F197" s="46" t="s">
        <v>696</v>
      </c>
      <c r="G197" s="46" t="s">
        <v>692</v>
      </c>
      <c r="H197" s="46" t="s">
        <v>72</v>
      </c>
      <c r="I197" s="98">
        <v>409577.3</v>
      </c>
      <c r="J197" s="101" t="s">
        <v>23</v>
      </c>
      <c r="K197" s="101" t="s">
        <v>23</v>
      </c>
      <c r="L197" s="101" t="s">
        <v>23</v>
      </c>
      <c r="M197" s="32" t="s">
        <v>693</v>
      </c>
      <c r="N197" s="32" t="s">
        <v>694</v>
      </c>
    </row>
    <row r="198" spans="1:14" ht="247.5">
      <c r="A198" s="100" t="s">
        <v>705</v>
      </c>
      <c r="B198" s="96" t="s">
        <v>706</v>
      </c>
      <c r="C198" s="91" t="s">
        <v>707</v>
      </c>
      <c r="D198" s="91" t="s">
        <v>708</v>
      </c>
      <c r="E198" s="102" t="s">
        <v>33</v>
      </c>
      <c r="F198" s="92" t="s">
        <v>709</v>
      </c>
      <c r="G198" s="92" t="s">
        <v>710</v>
      </c>
      <c r="H198" s="92" t="s">
        <v>711</v>
      </c>
      <c r="I198" s="98">
        <v>252181.3</v>
      </c>
      <c r="J198" s="97" t="s">
        <v>23</v>
      </c>
      <c r="K198" s="97" t="s">
        <v>23</v>
      </c>
      <c r="L198" s="97" t="s">
        <v>23</v>
      </c>
      <c r="M198" s="91" t="s">
        <v>712</v>
      </c>
      <c r="N198" s="91" t="s">
        <v>713</v>
      </c>
    </row>
    <row r="199" spans="1:14" ht="247.5">
      <c r="A199" s="100" t="s">
        <v>714</v>
      </c>
      <c r="B199" s="96" t="s">
        <v>706</v>
      </c>
      <c r="C199" s="91" t="s">
        <v>707</v>
      </c>
      <c r="D199" s="91" t="s">
        <v>708</v>
      </c>
      <c r="E199" s="102" t="s">
        <v>33</v>
      </c>
      <c r="F199" s="92" t="s">
        <v>715</v>
      </c>
      <c r="G199" s="92" t="s">
        <v>710</v>
      </c>
      <c r="H199" s="92" t="s">
        <v>711</v>
      </c>
      <c r="I199" s="98">
        <v>252181.3</v>
      </c>
      <c r="J199" s="97" t="s">
        <v>23</v>
      </c>
      <c r="K199" s="97" t="s">
        <v>23</v>
      </c>
      <c r="L199" s="97" t="s">
        <v>23</v>
      </c>
      <c r="M199" s="91" t="s">
        <v>712</v>
      </c>
      <c r="N199" s="91" t="s">
        <v>713</v>
      </c>
    </row>
    <row r="200" spans="1:14" ht="180">
      <c r="A200" s="91" t="s">
        <v>716</v>
      </c>
      <c r="B200" s="91" t="s">
        <v>717</v>
      </c>
      <c r="C200" s="91" t="s">
        <v>718</v>
      </c>
      <c r="D200" s="91" t="s">
        <v>719</v>
      </c>
      <c r="E200" s="92" t="s">
        <v>76</v>
      </c>
      <c r="F200" s="92" t="s">
        <v>720</v>
      </c>
      <c r="G200" s="92" t="s">
        <v>367</v>
      </c>
      <c r="H200" s="92" t="s">
        <v>265</v>
      </c>
      <c r="I200" s="98">
        <v>541769.4</v>
      </c>
      <c r="J200" s="92" t="s">
        <v>23</v>
      </c>
      <c r="K200" s="92" t="s">
        <v>23</v>
      </c>
      <c r="L200" s="92" t="s">
        <v>23</v>
      </c>
      <c r="M200" s="91" t="s">
        <v>721</v>
      </c>
      <c r="N200" s="91" t="s">
        <v>1176</v>
      </c>
    </row>
    <row r="201" spans="1:14" ht="180">
      <c r="A201" s="91" t="s">
        <v>722</v>
      </c>
      <c r="B201" s="91" t="s">
        <v>717</v>
      </c>
      <c r="C201" s="91" t="s">
        <v>718</v>
      </c>
      <c r="D201" s="91" t="s">
        <v>719</v>
      </c>
      <c r="E201" s="92" t="s">
        <v>76</v>
      </c>
      <c r="F201" s="92" t="s">
        <v>723</v>
      </c>
      <c r="G201" s="92" t="s">
        <v>367</v>
      </c>
      <c r="H201" s="92" t="s">
        <v>265</v>
      </c>
      <c r="I201" s="98">
        <v>301801.7</v>
      </c>
      <c r="J201" s="92" t="s">
        <v>23</v>
      </c>
      <c r="K201" s="92" t="s">
        <v>23</v>
      </c>
      <c r="L201" s="92" t="s">
        <v>23</v>
      </c>
      <c r="M201" s="91" t="s">
        <v>724</v>
      </c>
      <c r="N201" s="91" t="s">
        <v>1175</v>
      </c>
    </row>
    <row r="202" spans="1:14" s="133" customFormat="1" ht="112.5">
      <c r="A202" s="82" t="s">
        <v>725</v>
      </c>
      <c r="B202" s="83" t="s">
        <v>726</v>
      </c>
      <c r="C202" s="7" t="s">
        <v>727</v>
      </c>
      <c r="D202" s="7" t="s">
        <v>728</v>
      </c>
      <c r="E202" s="118" t="s">
        <v>729</v>
      </c>
      <c r="F202" s="118" t="s">
        <v>730</v>
      </c>
      <c r="G202" s="118" t="s">
        <v>731</v>
      </c>
      <c r="H202" s="118" t="s">
        <v>87</v>
      </c>
      <c r="I202" s="98">
        <v>293807.40000000002</v>
      </c>
      <c r="J202" s="93" t="s">
        <v>1177</v>
      </c>
      <c r="K202" s="93">
        <f>I202/112/40*160</f>
        <v>10493.121428571429</v>
      </c>
      <c r="L202" s="103" t="s">
        <v>23</v>
      </c>
      <c r="M202" s="47" t="s">
        <v>732</v>
      </c>
      <c r="N202" s="91" t="s">
        <v>733</v>
      </c>
    </row>
    <row r="203" spans="1:14" s="133" customFormat="1" ht="112.5">
      <c r="A203" s="84" t="s">
        <v>734</v>
      </c>
      <c r="B203" s="6" t="s">
        <v>735</v>
      </c>
      <c r="C203" s="6" t="s">
        <v>736</v>
      </c>
      <c r="D203" s="6" t="s">
        <v>737</v>
      </c>
      <c r="E203" s="13" t="s">
        <v>33</v>
      </c>
      <c r="F203" s="13" t="s">
        <v>738</v>
      </c>
      <c r="G203" s="13" t="s">
        <v>739</v>
      </c>
      <c r="H203" s="13" t="s">
        <v>194</v>
      </c>
      <c r="I203" s="98">
        <v>285323.90000000002</v>
      </c>
      <c r="J203" s="13" t="s">
        <v>740</v>
      </c>
      <c r="K203" s="14">
        <f>+(I203/120)/60*240</f>
        <v>9510.7966666666671</v>
      </c>
      <c r="L203" s="13" t="s">
        <v>23</v>
      </c>
      <c r="M203" s="6" t="s">
        <v>741</v>
      </c>
      <c r="N203" s="91" t="s">
        <v>733</v>
      </c>
    </row>
    <row r="204" spans="1:14" s="133" customFormat="1" ht="112.5">
      <c r="A204" s="82" t="s">
        <v>742</v>
      </c>
      <c r="B204" s="83" t="s">
        <v>743</v>
      </c>
      <c r="C204" s="7" t="s">
        <v>744</v>
      </c>
      <c r="D204" s="7" t="s">
        <v>745</v>
      </c>
      <c r="E204" s="118" t="s">
        <v>621</v>
      </c>
      <c r="F204" s="118" t="s">
        <v>746</v>
      </c>
      <c r="G204" s="118" t="s">
        <v>747</v>
      </c>
      <c r="H204" s="118" t="s">
        <v>194</v>
      </c>
      <c r="I204" s="93">
        <v>340797.2</v>
      </c>
      <c r="J204" s="93" t="s">
        <v>748</v>
      </c>
      <c r="K204" s="93">
        <f>I204/120/250*1000</f>
        <v>11359.906666666668</v>
      </c>
      <c r="L204" s="103" t="s">
        <v>23</v>
      </c>
      <c r="M204" s="47" t="s">
        <v>749</v>
      </c>
      <c r="N204" s="91" t="s">
        <v>750</v>
      </c>
    </row>
    <row r="205" spans="1:14" s="133" customFormat="1" ht="112.5">
      <c r="A205" s="104">
        <v>1039760</v>
      </c>
      <c r="B205" s="104" t="s">
        <v>743</v>
      </c>
      <c r="C205" s="91" t="s">
        <v>744</v>
      </c>
      <c r="D205" s="91" t="s">
        <v>751</v>
      </c>
      <c r="E205" s="92" t="s">
        <v>621</v>
      </c>
      <c r="F205" s="92" t="s">
        <v>752</v>
      </c>
      <c r="G205" s="92" t="s">
        <v>753</v>
      </c>
      <c r="H205" s="92" t="s">
        <v>754</v>
      </c>
      <c r="I205" s="93">
        <v>186766.3</v>
      </c>
      <c r="J205" s="95" t="s">
        <v>748</v>
      </c>
      <c r="K205" s="93">
        <f>I205/120/250*1000</f>
        <v>6225.5433333333331</v>
      </c>
      <c r="L205" s="103" t="s">
        <v>23</v>
      </c>
      <c r="M205" s="47" t="s">
        <v>749</v>
      </c>
      <c r="N205" s="91" t="s">
        <v>750</v>
      </c>
    </row>
    <row r="206" spans="1:14" s="133" customFormat="1" ht="112.5">
      <c r="A206" s="104">
        <v>1039761</v>
      </c>
      <c r="B206" s="104" t="s">
        <v>743</v>
      </c>
      <c r="C206" s="91" t="s">
        <v>744</v>
      </c>
      <c r="D206" s="91" t="s">
        <v>751</v>
      </c>
      <c r="E206" s="92" t="s">
        <v>33</v>
      </c>
      <c r="F206" s="92" t="s">
        <v>755</v>
      </c>
      <c r="G206" s="92" t="s">
        <v>753</v>
      </c>
      <c r="H206" s="92" t="s">
        <v>754</v>
      </c>
      <c r="I206" s="98">
        <v>62023.9</v>
      </c>
      <c r="J206" s="95" t="s">
        <v>748</v>
      </c>
      <c r="K206" s="93">
        <f>I206/60/500*1000</f>
        <v>2067.4633333333336</v>
      </c>
      <c r="L206" s="103" t="s">
        <v>23</v>
      </c>
      <c r="M206" s="47" t="s">
        <v>749</v>
      </c>
      <c r="N206" s="91" t="s">
        <v>750</v>
      </c>
    </row>
    <row r="207" spans="1:14" s="133" customFormat="1" ht="112.5">
      <c r="A207" s="90" t="s">
        <v>756</v>
      </c>
      <c r="B207" s="91" t="s">
        <v>743</v>
      </c>
      <c r="C207" s="91" t="s">
        <v>744</v>
      </c>
      <c r="D207" s="91" t="s">
        <v>757</v>
      </c>
      <c r="E207" s="92" t="s">
        <v>33</v>
      </c>
      <c r="F207" s="92" t="s">
        <v>755</v>
      </c>
      <c r="G207" s="92" t="s">
        <v>758</v>
      </c>
      <c r="H207" s="102" t="s">
        <v>759</v>
      </c>
      <c r="I207" s="93">
        <v>62023.9</v>
      </c>
      <c r="J207" s="3" t="s">
        <v>760</v>
      </c>
      <c r="K207" s="93">
        <f>I207/(60*0.5)</f>
        <v>2067.4633333333336</v>
      </c>
      <c r="L207" s="103" t="s">
        <v>23</v>
      </c>
      <c r="M207" s="47" t="s">
        <v>749</v>
      </c>
      <c r="N207" s="91" t="s">
        <v>750</v>
      </c>
    </row>
    <row r="208" spans="1:14" s="133" customFormat="1" ht="112.5">
      <c r="A208" s="105">
        <v>1039095</v>
      </c>
      <c r="B208" s="104" t="s">
        <v>743</v>
      </c>
      <c r="C208" s="91" t="s">
        <v>744</v>
      </c>
      <c r="D208" s="91" t="s">
        <v>761</v>
      </c>
      <c r="E208" s="92" t="s">
        <v>33</v>
      </c>
      <c r="F208" s="92" t="s">
        <v>762</v>
      </c>
      <c r="G208" s="92" t="s">
        <v>432</v>
      </c>
      <c r="H208" s="92" t="s">
        <v>433</v>
      </c>
      <c r="I208" s="93">
        <v>186766.3</v>
      </c>
      <c r="J208" s="101" t="s">
        <v>748</v>
      </c>
      <c r="K208" s="98">
        <f>+(I208/120)/250*1000</f>
        <v>6225.5433333333331</v>
      </c>
      <c r="L208" s="103" t="s">
        <v>23</v>
      </c>
      <c r="M208" s="47" t="s">
        <v>749</v>
      </c>
      <c r="N208" s="91" t="s">
        <v>750</v>
      </c>
    </row>
    <row r="209" spans="1:14" s="133" customFormat="1" ht="112.5">
      <c r="A209" s="105">
        <v>1039094</v>
      </c>
      <c r="B209" s="104" t="s">
        <v>743</v>
      </c>
      <c r="C209" s="113" t="s">
        <v>744</v>
      </c>
      <c r="D209" s="113" t="s">
        <v>761</v>
      </c>
      <c r="E209" s="114" t="s">
        <v>33</v>
      </c>
      <c r="F209" s="114" t="s">
        <v>755</v>
      </c>
      <c r="G209" s="114" t="s">
        <v>432</v>
      </c>
      <c r="H209" s="114" t="s">
        <v>433</v>
      </c>
      <c r="I209" s="93">
        <v>62023.9</v>
      </c>
      <c r="J209" s="101" t="s">
        <v>748</v>
      </c>
      <c r="K209" s="98">
        <f>+(I209/60)/500*1000</f>
        <v>2067.4633333333336</v>
      </c>
      <c r="L209" s="103" t="s">
        <v>23</v>
      </c>
      <c r="M209" s="47" t="s">
        <v>749</v>
      </c>
      <c r="N209" s="91" t="s">
        <v>750</v>
      </c>
    </row>
    <row r="210" spans="1:14" s="133" customFormat="1" ht="112.5">
      <c r="A210" s="105" t="s">
        <v>763</v>
      </c>
      <c r="B210" s="104" t="s">
        <v>743</v>
      </c>
      <c r="C210" s="91" t="s">
        <v>744</v>
      </c>
      <c r="D210" s="91" t="s">
        <v>764</v>
      </c>
      <c r="E210" s="92" t="s">
        <v>33</v>
      </c>
      <c r="F210" s="92" t="s">
        <v>762</v>
      </c>
      <c r="G210" s="92" t="s">
        <v>432</v>
      </c>
      <c r="H210" s="92" t="s">
        <v>433</v>
      </c>
      <c r="I210" s="93">
        <v>186766.3</v>
      </c>
      <c r="J210" s="101" t="s">
        <v>760</v>
      </c>
      <c r="K210" s="98">
        <f>(I210/120)/250*1000</f>
        <v>6225.5433333333331</v>
      </c>
      <c r="L210" s="103" t="s">
        <v>23</v>
      </c>
      <c r="M210" s="47" t="s">
        <v>749</v>
      </c>
      <c r="N210" s="91" t="s">
        <v>750</v>
      </c>
    </row>
    <row r="211" spans="1:14" s="133" customFormat="1" ht="112.5">
      <c r="A211" s="105" t="s">
        <v>765</v>
      </c>
      <c r="B211" s="104" t="s">
        <v>743</v>
      </c>
      <c r="C211" s="113" t="s">
        <v>744</v>
      </c>
      <c r="D211" s="113" t="s">
        <v>764</v>
      </c>
      <c r="E211" s="114" t="s">
        <v>33</v>
      </c>
      <c r="F211" s="114" t="s">
        <v>755</v>
      </c>
      <c r="G211" s="114" t="s">
        <v>432</v>
      </c>
      <c r="H211" s="114" t="s">
        <v>433</v>
      </c>
      <c r="I211" s="93">
        <v>62023.9</v>
      </c>
      <c r="J211" s="101" t="s">
        <v>760</v>
      </c>
      <c r="K211" s="98">
        <f>(I211/60)/500*1000</f>
        <v>2067.4633333333336</v>
      </c>
      <c r="L211" s="103" t="s">
        <v>23</v>
      </c>
      <c r="M211" s="47" t="s">
        <v>749</v>
      </c>
      <c r="N211" s="91" t="s">
        <v>750</v>
      </c>
    </row>
    <row r="212" spans="1:14" s="133" customFormat="1" ht="112.5">
      <c r="A212" s="91">
        <v>1039790</v>
      </c>
      <c r="B212" s="96" t="s">
        <v>743</v>
      </c>
      <c r="C212" s="91" t="s">
        <v>744</v>
      </c>
      <c r="D212" s="91" t="s">
        <v>766</v>
      </c>
      <c r="E212" s="92" t="s">
        <v>621</v>
      </c>
      <c r="F212" s="92" t="s">
        <v>768</v>
      </c>
      <c r="G212" s="92" t="s">
        <v>769</v>
      </c>
      <c r="H212" s="92" t="s">
        <v>469</v>
      </c>
      <c r="I212" s="93">
        <v>186766.3</v>
      </c>
      <c r="J212" s="93" t="s">
        <v>760</v>
      </c>
      <c r="K212" s="98">
        <f>+(I212/120)/250*1000</f>
        <v>6225.5433333333331</v>
      </c>
      <c r="L212" s="103" t="s">
        <v>23</v>
      </c>
      <c r="M212" s="47" t="s">
        <v>749</v>
      </c>
      <c r="N212" s="91" t="s">
        <v>750</v>
      </c>
    </row>
    <row r="213" spans="1:14" s="133" customFormat="1" ht="112.5">
      <c r="A213" s="91">
        <v>1039791</v>
      </c>
      <c r="B213" s="96" t="s">
        <v>743</v>
      </c>
      <c r="C213" s="91" t="s">
        <v>744</v>
      </c>
      <c r="D213" s="91" t="s">
        <v>766</v>
      </c>
      <c r="E213" s="114" t="s">
        <v>33</v>
      </c>
      <c r="F213" s="114" t="s">
        <v>767</v>
      </c>
      <c r="G213" s="114" t="s">
        <v>753</v>
      </c>
      <c r="H213" s="114" t="s">
        <v>754</v>
      </c>
      <c r="I213" s="93">
        <v>62023.9</v>
      </c>
      <c r="J213" s="93" t="s">
        <v>760</v>
      </c>
      <c r="K213" s="98">
        <f>+(I213/60)/500*1000</f>
        <v>2067.4633333333336</v>
      </c>
      <c r="L213" s="103" t="s">
        <v>23</v>
      </c>
      <c r="M213" s="47" t="s">
        <v>749</v>
      </c>
      <c r="N213" s="91" t="s">
        <v>750</v>
      </c>
    </row>
    <row r="214" spans="1:14" s="133" customFormat="1" ht="112.5">
      <c r="A214" s="90" t="s">
        <v>770</v>
      </c>
      <c r="B214" s="96" t="s">
        <v>743</v>
      </c>
      <c r="C214" s="91" t="s">
        <v>744</v>
      </c>
      <c r="D214" s="91" t="s">
        <v>771</v>
      </c>
      <c r="E214" s="114" t="s">
        <v>33</v>
      </c>
      <c r="F214" s="114" t="s">
        <v>1251</v>
      </c>
      <c r="G214" s="114" t="s">
        <v>772</v>
      </c>
      <c r="H214" s="114" t="s">
        <v>525</v>
      </c>
      <c r="I214" s="93">
        <v>57889</v>
      </c>
      <c r="J214" s="93" t="s">
        <v>760</v>
      </c>
      <c r="K214" s="93">
        <f>+(I214/56)/500*1000</f>
        <v>2067.4642857142858</v>
      </c>
      <c r="L214" s="103" t="s">
        <v>23</v>
      </c>
      <c r="M214" s="47" t="s">
        <v>749</v>
      </c>
      <c r="N214" s="91" t="s">
        <v>750</v>
      </c>
    </row>
    <row r="215" spans="1:14" s="133" customFormat="1" ht="112.5">
      <c r="A215" s="105" t="s">
        <v>773</v>
      </c>
      <c r="B215" s="122" t="s">
        <v>743</v>
      </c>
      <c r="C215" s="91" t="s">
        <v>744</v>
      </c>
      <c r="D215" s="91" t="s">
        <v>774</v>
      </c>
      <c r="E215" s="92" t="s">
        <v>33</v>
      </c>
      <c r="F215" s="92" t="s">
        <v>755</v>
      </c>
      <c r="G215" s="92" t="s">
        <v>775</v>
      </c>
      <c r="H215" s="92" t="s">
        <v>776</v>
      </c>
      <c r="I215" s="93">
        <v>62023.9</v>
      </c>
      <c r="J215" s="93" t="s">
        <v>760</v>
      </c>
      <c r="K215" s="93">
        <f>I215/(60*500)*1000</f>
        <v>2067.4633333333336</v>
      </c>
      <c r="L215" s="103" t="s">
        <v>23</v>
      </c>
      <c r="M215" s="47" t="s">
        <v>749</v>
      </c>
      <c r="N215" s="91" t="s">
        <v>750</v>
      </c>
    </row>
    <row r="216" spans="1:14" ht="45">
      <c r="A216" s="90" t="s">
        <v>777</v>
      </c>
      <c r="B216" s="91" t="s">
        <v>778</v>
      </c>
      <c r="C216" s="91" t="s">
        <v>779</v>
      </c>
      <c r="D216" s="91" t="s">
        <v>780</v>
      </c>
      <c r="E216" s="92" t="s">
        <v>60</v>
      </c>
      <c r="F216" s="92" t="s">
        <v>781</v>
      </c>
      <c r="G216" s="92" t="s">
        <v>782</v>
      </c>
      <c r="H216" s="92" t="s">
        <v>673</v>
      </c>
      <c r="I216" s="98">
        <v>87374.399999999994</v>
      </c>
      <c r="J216" s="92" t="s">
        <v>23</v>
      </c>
      <c r="K216" s="93" t="s">
        <v>23</v>
      </c>
      <c r="L216" s="107" t="s">
        <v>23</v>
      </c>
      <c r="M216" s="91" t="s">
        <v>783</v>
      </c>
      <c r="N216" s="91" t="s">
        <v>784</v>
      </c>
    </row>
    <row r="217" spans="1:14" ht="45">
      <c r="A217" s="90" t="s">
        <v>785</v>
      </c>
      <c r="B217" s="91" t="s">
        <v>778</v>
      </c>
      <c r="C217" s="91" t="s">
        <v>786</v>
      </c>
      <c r="D217" s="91" t="s">
        <v>780</v>
      </c>
      <c r="E217" s="92" t="s">
        <v>60</v>
      </c>
      <c r="F217" s="92" t="s">
        <v>787</v>
      </c>
      <c r="G217" s="92" t="s">
        <v>782</v>
      </c>
      <c r="H217" s="92" t="s">
        <v>673</v>
      </c>
      <c r="I217" s="98">
        <v>54454.9</v>
      </c>
      <c r="J217" s="92" t="s">
        <v>23</v>
      </c>
      <c r="K217" s="93" t="s">
        <v>23</v>
      </c>
      <c r="L217" s="107" t="s">
        <v>23</v>
      </c>
      <c r="M217" s="91" t="s">
        <v>783</v>
      </c>
      <c r="N217" s="91" t="s">
        <v>784</v>
      </c>
    </row>
    <row r="218" spans="1:14" ht="45">
      <c r="A218" s="90" t="s">
        <v>788</v>
      </c>
      <c r="B218" s="91" t="s">
        <v>778</v>
      </c>
      <c r="C218" s="91" t="s">
        <v>779</v>
      </c>
      <c r="D218" s="91" t="s">
        <v>789</v>
      </c>
      <c r="E218" s="92" t="s">
        <v>60</v>
      </c>
      <c r="F218" s="92" t="s">
        <v>790</v>
      </c>
      <c r="G218" s="92" t="s">
        <v>791</v>
      </c>
      <c r="H218" s="92" t="s">
        <v>792</v>
      </c>
      <c r="I218" s="98">
        <v>54633</v>
      </c>
      <c r="J218" s="92" t="s">
        <v>793</v>
      </c>
      <c r="K218" s="93">
        <f>I218/4/30*4.3</f>
        <v>1957.6824999999999</v>
      </c>
      <c r="L218" s="107" t="s">
        <v>23</v>
      </c>
      <c r="M218" s="91" t="s">
        <v>783</v>
      </c>
      <c r="N218" s="91" t="s">
        <v>784</v>
      </c>
    </row>
    <row r="219" spans="1:14" ht="56.25">
      <c r="A219" s="90" t="s">
        <v>794</v>
      </c>
      <c r="B219" s="91" t="s">
        <v>795</v>
      </c>
      <c r="C219" s="91" t="s">
        <v>796</v>
      </c>
      <c r="D219" s="91" t="s">
        <v>797</v>
      </c>
      <c r="E219" s="92" t="s">
        <v>27</v>
      </c>
      <c r="F219" s="92" t="s">
        <v>798</v>
      </c>
      <c r="G219" s="92" t="s">
        <v>799</v>
      </c>
      <c r="H219" s="92" t="s">
        <v>72</v>
      </c>
      <c r="I219" s="98">
        <v>54785.3</v>
      </c>
      <c r="J219" s="92" t="s">
        <v>800</v>
      </c>
      <c r="K219" s="93">
        <f>I219/15/9600000*4000000</f>
        <v>1521.8138888888891</v>
      </c>
      <c r="L219" s="107" t="s">
        <v>23</v>
      </c>
      <c r="M219" s="91" t="s">
        <v>783</v>
      </c>
      <c r="N219" s="91" t="s">
        <v>784</v>
      </c>
    </row>
    <row r="220" spans="1:14" ht="303.75">
      <c r="A220" s="90" t="s">
        <v>801</v>
      </c>
      <c r="B220" s="91" t="s">
        <v>802</v>
      </c>
      <c r="C220" s="91" t="s">
        <v>803</v>
      </c>
      <c r="D220" s="91" t="s">
        <v>804</v>
      </c>
      <c r="E220" s="92" t="s">
        <v>60</v>
      </c>
      <c r="F220" s="92" t="s">
        <v>805</v>
      </c>
      <c r="G220" s="92" t="s">
        <v>1234</v>
      </c>
      <c r="H220" s="92" t="s">
        <v>1235</v>
      </c>
      <c r="I220" s="98">
        <v>15731.8</v>
      </c>
      <c r="J220" s="93" t="s">
        <v>806</v>
      </c>
      <c r="K220" s="93">
        <f>I220/180*26</f>
        <v>2272.3711111111111</v>
      </c>
      <c r="L220" s="107" t="s">
        <v>23</v>
      </c>
      <c r="M220" s="91" t="s">
        <v>807</v>
      </c>
      <c r="N220" s="91" t="s">
        <v>117</v>
      </c>
    </row>
    <row r="221" spans="1:14" ht="90">
      <c r="A221" s="90" t="s">
        <v>808</v>
      </c>
      <c r="B221" s="91" t="s">
        <v>809</v>
      </c>
      <c r="C221" s="91" t="s">
        <v>816</v>
      </c>
      <c r="D221" s="91" t="s">
        <v>810</v>
      </c>
      <c r="E221" s="106" t="s">
        <v>811</v>
      </c>
      <c r="F221" s="92" t="s">
        <v>812</v>
      </c>
      <c r="G221" s="92" t="s">
        <v>1243</v>
      </c>
      <c r="H221" s="92" t="s">
        <v>1244</v>
      </c>
      <c r="I221" s="98">
        <v>52035.7</v>
      </c>
      <c r="J221" s="92" t="s">
        <v>813</v>
      </c>
      <c r="K221" s="93">
        <f>I221/12/40*20</f>
        <v>2168.1541666666667</v>
      </c>
      <c r="L221" s="107" t="s">
        <v>23</v>
      </c>
      <c r="M221" s="91" t="s">
        <v>814</v>
      </c>
      <c r="N221" s="91" t="s">
        <v>784</v>
      </c>
    </row>
    <row r="222" spans="1:14" ht="33.75">
      <c r="A222" s="90" t="s">
        <v>815</v>
      </c>
      <c r="B222" s="91" t="s">
        <v>809</v>
      </c>
      <c r="C222" s="91" t="s">
        <v>816</v>
      </c>
      <c r="D222" s="91" t="s">
        <v>817</v>
      </c>
      <c r="E222" s="92" t="s">
        <v>60</v>
      </c>
      <c r="F222" s="92" t="s">
        <v>812</v>
      </c>
      <c r="G222" s="92" t="s">
        <v>818</v>
      </c>
      <c r="H222" s="92" t="s">
        <v>819</v>
      </c>
      <c r="I222" s="98">
        <v>51309.599999999999</v>
      </c>
      <c r="J222" s="92" t="s">
        <v>813</v>
      </c>
      <c r="K222" s="93">
        <f>I222/12/40*20</f>
        <v>2137.9</v>
      </c>
      <c r="L222" s="107" t="s">
        <v>23</v>
      </c>
      <c r="M222" s="91" t="s">
        <v>820</v>
      </c>
      <c r="N222" s="91" t="s">
        <v>784</v>
      </c>
    </row>
    <row r="223" spans="1:14" ht="101.25">
      <c r="A223" s="90" t="s">
        <v>821</v>
      </c>
      <c r="B223" s="91" t="s">
        <v>822</v>
      </c>
      <c r="C223" s="91" t="s">
        <v>823</v>
      </c>
      <c r="D223" s="91" t="s">
        <v>824</v>
      </c>
      <c r="E223" s="106" t="s">
        <v>76</v>
      </c>
      <c r="F223" s="92" t="s">
        <v>1245</v>
      </c>
      <c r="G223" s="92" t="s">
        <v>1233</v>
      </c>
      <c r="H223" s="92" t="s">
        <v>133</v>
      </c>
      <c r="I223" s="98">
        <v>492119.6</v>
      </c>
      <c r="J223" s="92" t="s">
        <v>825</v>
      </c>
      <c r="K223" s="93">
        <f>I223/1.2/20*16.8</f>
        <v>344483.72000000003</v>
      </c>
      <c r="L223" s="107" t="s">
        <v>23</v>
      </c>
      <c r="M223" s="91" t="s">
        <v>826</v>
      </c>
      <c r="N223" s="91" t="s">
        <v>827</v>
      </c>
    </row>
    <row r="224" spans="1:14" ht="45">
      <c r="A224" s="90" t="s">
        <v>828</v>
      </c>
      <c r="B224" s="91" t="s">
        <v>829</v>
      </c>
      <c r="C224" s="91" t="s">
        <v>830</v>
      </c>
      <c r="D224" s="91" t="s">
        <v>831</v>
      </c>
      <c r="E224" s="92" t="s">
        <v>252</v>
      </c>
      <c r="F224" s="92" t="s">
        <v>832</v>
      </c>
      <c r="G224" s="92" t="s">
        <v>791</v>
      </c>
      <c r="H224" s="92" t="s">
        <v>792</v>
      </c>
      <c r="I224" s="98">
        <v>122927.7</v>
      </c>
      <c r="J224" s="101" t="s">
        <v>833</v>
      </c>
      <c r="K224" s="98">
        <f>(I224/300)*10</f>
        <v>4097.59</v>
      </c>
      <c r="L224" s="101" t="s">
        <v>23</v>
      </c>
      <c r="M224" s="91" t="s">
        <v>820</v>
      </c>
      <c r="N224" s="91" t="s">
        <v>784</v>
      </c>
    </row>
    <row r="225" spans="1:14" ht="22.5">
      <c r="A225" s="90" t="s">
        <v>834</v>
      </c>
      <c r="B225" s="91" t="s">
        <v>835</v>
      </c>
      <c r="C225" s="91" t="s">
        <v>836</v>
      </c>
      <c r="D225" s="91" t="s">
        <v>837</v>
      </c>
      <c r="E225" s="92" t="s">
        <v>235</v>
      </c>
      <c r="F225" s="92" t="s">
        <v>838</v>
      </c>
      <c r="G225" s="92" t="s">
        <v>574</v>
      </c>
      <c r="H225" s="92" t="s">
        <v>265</v>
      </c>
      <c r="I225" s="129">
        <v>63093.599999999999</v>
      </c>
      <c r="J225" s="101" t="s">
        <v>839</v>
      </c>
      <c r="K225" s="98">
        <f>I225/28/0.5*0.5</f>
        <v>2253.3428571428572</v>
      </c>
      <c r="L225" s="101" t="s">
        <v>23</v>
      </c>
      <c r="M225" s="91" t="s">
        <v>820</v>
      </c>
      <c r="N225" s="91" t="s">
        <v>784</v>
      </c>
    </row>
    <row r="226" spans="1:14" ht="33.75">
      <c r="A226" s="90" t="s">
        <v>840</v>
      </c>
      <c r="B226" s="91" t="s">
        <v>835</v>
      </c>
      <c r="C226" s="96" t="s">
        <v>836</v>
      </c>
      <c r="D226" s="96" t="s">
        <v>1263</v>
      </c>
      <c r="E226" s="102" t="s">
        <v>235</v>
      </c>
      <c r="F226" s="102" t="s">
        <v>841</v>
      </c>
      <c r="G226" s="92" t="s">
        <v>1264</v>
      </c>
      <c r="H226" s="92" t="s">
        <v>1266</v>
      </c>
      <c r="I226" s="129">
        <v>49470.5</v>
      </c>
      <c r="J226" s="126" t="s">
        <v>839</v>
      </c>
      <c r="K226" s="98">
        <f>I226/28/0.5*0.5</f>
        <v>1766.8035714285713</v>
      </c>
      <c r="L226" s="101" t="s">
        <v>23</v>
      </c>
      <c r="M226" s="91" t="s">
        <v>820</v>
      </c>
      <c r="N226" s="91" t="s">
        <v>784</v>
      </c>
    </row>
    <row r="227" spans="1:14" ht="22.5">
      <c r="A227" s="91">
        <v>1014077</v>
      </c>
      <c r="B227" s="91" t="s">
        <v>835</v>
      </c>
      <c r="C227" s="96" t="s">
        <v>836</v>
      </c>
      <c r="D227" s="96" t="s">
        <v>842</v>
      </c>
      <c r="E227" s="92" t="s">
        <v>33</v>
      </c>
      <c r="F227" s="102" t="s">
        <v>838</v>
      </c>
      <c r="G227" s="92" t="s">
        <v>652</v>
      </c>
      <c r="H227" s="92" t="s">
        <v>78</v>
      </c>
      <c r="I227" s="129">
        <v>49470.5</v>
      </c>
      <c r="J227" s="126" t="s">
        <v>839</v>
      </c>
      <c r="K227" s="98">
        <f>I227/28/0.5*0.5</f>
        <v>1766.8035714285713</v>
      </c>
      <c r="L227" s="101" t="s">
        <v>23</v>
      </c>
      <c r="M227" s="91" t="s">
        <v>820</v>
      </c>
      <c r="N227" s="91" t="s">
        <v>784</v>
      </c>
    </row>
    <row r="228" spans="1:14" ht="22.5">
      <c r="A228" s="91">
        <v>1014114</v>
      </c>
      <c r="B228" s="91" t="s">
        <v>835</v>
      </c>
      <c r="C228" s="91" t="s">
        <v>836</v>
      </c>
      <c r="D228" s="91" t="s">
        <v>843</v>
      </c>
      <c r="E228" s="92" t="s">
        <v>235</v>
      </c>
      <c r="F228" s="92" t="s">
        <v>838</v>
      </c>
      <c r="G228" s="92" t="s">
        <v>844</v>
      </c>
      <c r="H228" s="92" t="s">
        <v>525</v>
      </c>
      <c r="I228" s="129">
        <v>49470.5</v>
      </c>
      <c r="J228" s="93" t="s">
        <v>845</v>
      </c>
      <c r="K228" s="98">
        <f>I228/28/0.5*0.5</f>
        <v>1766.8035714285713</v>
      </c>
      <c r="L228" s="101" t="s">
        <v>23</v>
      </c>
      <c r="M228" s="91" t="s">
        <v>820</v>
      </c>
      <c r="N228" s="91" t="s">
        <v>784</v>
      </c>
    </row>
    <row r="229" spans="1:14" ht="22.5">
      <c r="A229" s="105" t="s">
        <v>846</v>
      </c>
      <c r="B229" s="104" t="s">
        <v>1315</v>
      </c>
      <c r="C229" s="113" t="s">
        <v>836</v>
      </c>
      <c r="D229" s="113" t="s">
        <v>847</v>
      </c>
      <c r="E229" s="114" t="s">
        <v>235</v>
      </c>
      <c r="F229" s="114" t="s">
        <v>838</v>
      </c>
      <c r="G229" s="114" t="s">
        <v>848</v>
      </c>
      <c r="H229" s="114" t="s">
        <v>449</v>
      </c>
      <c r="I229" s="129">
        <v>49470.5</v>
      </c>
      <c r="J229" s="101" t="s">
        <v>845</v>
      </c>
      <c r="K229" s="98">
        <f>(I229/28)/0.5*0.5</f>
        <v>1766.8035714285713</v>
      </c>
      <c r="L229" s="101" t="s">
        <v>23</v>
      </c>
      <c r="M229" s="91" t="s">
        <v>820</v>
      </c>
      <c r="N229" s="91" t="s">
        <v>784</v>
      </c>
    </row>
    <row r="230" spans="1:14" ht="22.5">
      <c r="A230" s="105" t="s">
        <v>849</v>
      </c>
      <c r="B230" s="104" t="s">
        <v>835</v>
      </c>
      <c r="C230" s="91" t="s">
        <v>836</v>
      </c>
      <c r="D230" s="91" t="s">
        <v>850</v>
      </c>
      <c r="E230" s="92" t="s">
        <v>235</v>
      </c>
      <c r="F230" s="92" t="s">
        <v>838</v>
      </c>
      <c r="G230" s="92" t="s">
        <v>851</v>
      </c>
      <c r="H230" s="92" t="s">
        <v>754</v>
      </c>
      <c r="I230" s="129">
        <v>49470.5</v>
      </c>
      <c r="J230" s="93" t="s">
        <v>845</v>
      </c>
      <c r="K230" s="93">
        <f>I230/28</f>
        <v>1766.8035714285713</v>
      </c>
      <c r="L230" s="101" t="s">
        <v>23</v>
      </c>
      <c r="M230" s="91" t="s">
        <v>820</v>
      </c>
      <c r="N230" s="91" t="s">
        <v>784</v>
      </c>
    </row>
    <row r="231" spans="1:14" ht="22.5">
      <c r="A231" s="105" t="s">
        <v>1316</v>
      </c>
      <c r="B231" s="104" t="s">
        <v>835</v>
      </c>
      <c r="C231" s="91" t="s">
        <v>836</v>
      </c>
      <c r="D231" s="91" t="s">
        <v>1317</v>
      </c>
      <c r="E231" s="92" t="s">
        <v>235</v>
      </c>
      <c r="F231" s="92" t="s">
        <v>1318</v>
      </c>
      <c r="G231" s="92" t="s">
        <v>1319</v>
      </c>
      <c r="H231" s="92" t="s">
        <v>1320</v>
      </c>
      <c r="I231" s="129">
        <v>49470.5</v>
      </c>
      <c r="J231" s="93" t="s">
        <v>845</v>
      </c>
      <c r="K231" s="93">
        <f t="shared" ref="K231:K233" si="1">I231/28</f>
        <v>1766.8035714285713</v>
      </c>
      <c r="L231" s="101" t="s">
        <v>23</v>
      </c>
      <c r="M231" s="91" t="s">
        <v>820</v>
      </c>
      <c r="N231" s="91" t="s">
        <v>784</v>
      </c>
    </row>
    <row r="232" spans="1:14" ht="22.5">
      <c r="A232" s="105" t="s">
        <v>1321</v>
      </c>
      <c r="B232" s="104" t="s">
        <v>1315</v>
      </c>
      <c r="C232" s="91" t="s">
        <v>836</v>
      </c>
      <c r="D232" s="91" t="s">
        <v>1322</v>
      </c>
      <c r="E232" s="92" t="s">
        <v>235</v>
      </c>
      <c r="F232" s="92" t="s">
        <v>1318</v>
      </c>
      <c r="G232" s="92" t="s">
        <v>1323</v>
      </c>
      <c r="H232" s="92" t="s">
        <v>43</v>
      </c>
      <c r="I232" s="129">
        <v>49470.5</v>
      </c>
      <c r="J232" s="93" t="s">
        <v>852</v>
      </c>
      <c r="K232" s="93">
        <f t="shared" si="1"/>
        <v>1766.8035714285713</v>
      </c>
      <c r="L232" s="101" t="s">
        <v>23</v>
      </c>
      <c r="M232" s="91" t="s">
        <v>820</v>
      </c>
      <c r="N232" s="91" t="s">
        <v>784</v>
      </c>
    </row>
    <row r="233" spans="1:14" ht="45">
      <c r="A233" s="105" t="s">
        <v>1324</v>
      </c>
      <c r="B233" s="104" t="s">
        <v>1315</v>
      </c>
      <c r="C233" s="91" t="s">
        <v>836</v>
      </c>
      <c r="D233" s="91" t="s">
        <v>1325</v>
      </c>
      <c r="E233" s="92" t="s">
        <v>235</v>
      </c>
      <c r="F233" s="92" t="s">
        <v>838</v>
      </c>
      <c r="G233" s="92" t="s">
        <v>1287</v>
      </c>
      <c r="H233" s="92" t="s">
        <v>1288</v>
      </c>
      <c r="I233" s="129">
        <v>49470.5</v>
      </c>
      <c r="J233" s="93" t="s">
        <v>845</v>
      </c>
      <c r="K233" s="93">
        <f t="shared" si="1"/>
        <v>1766.8035714285713</v>
      </c>
      <c r="L233" s="101" t="s">
        <v>23</v>
      </c>
      <c r="M233" s="91" t="s">
        <v>820</v>
      </c>
      <c r="N233" s="91" t="s">
        <v>784</v>
      </c>
    </row>
    <row r="234" spans="1:14" ht="22.5">
      <c r="A234" s="90">
        <v>1014003</v>
      </c>
      <c r="B234" s="91" t="s">
        <v>857</v>
      </c>
      <c r="C234" s="91" t="s">
        <v>858</v>
      </c>
      <c r="D234" s="91" t="s">
        <v>859</v>
      </c>
      <c r="E234" s="92" t="s">
        <v>33</v>
      </c>
      <c r="F234" s="92" t="s">
        <v>860</v>
      </c>
      <c r="G234" s="92" t="s">
        <v>861</v>
      </c>
      <c r="H234" s="92" t="s">
        <v>862</v>
      </c>
      <c r="I234" s="98">
        <v>46009.4</v>
      </c>
      <c r="J234" s="101" t="s">
        <v>863</v>
      </c>
      <c r="K234" s="98">
        <f>(I234/392)*14</f>
        <v>1643.1928571428573</v>
      </c>
      <c r="L234" s="101" t="s">
        <v>23</v>
      </c>
      <c r="M234" s="91" t="s">
        <v>820</v>
      </c>
      <c r="N234" s="91" t="s">
        <v>784</v>
      </c>
    </row>
    <row r="235" spans="1:14" ht="22.5">
      <c r="A235" s="90">
        <v>1014922</v>
      </c>
      <c r="B235" s="90" t="s">
        <v>1179</v>
      </c>
      <c r="C235" s="90" t="s">
        <v>858</v>
      </c>
      <c r="D235" s="90" t="s">
        <v>1180</v>
      </c>
      <c r="E235" s="10" t="s">
        <v>33</v>
      </c>
      <c r="F235" s="10" t="s">
        <v>860</v>
      </c>
      <c r="G235" s="10" t="s">
        <v>1181</v>
      </c>
      <c r="H235" s="102" t="s">
        <v>1182</v>
      </c>
      <c r="I235" s="98">
        <v>24560.7</v>
      </c>
      <c r="J235" s="93" t="s">
        <v>863</v>
      </c>
      <c r="K235" s="98">
        <f>I235/28</f>
        <v>877.1678571428572</v>
      </c>
      <c r="L235" s="101" t="s">
        <v>23</v>
      </c>
      <c r="M235" s="91" t="s">
        <v>820</v>
      </c>
      <c r="N235" s="91" t="s">
        <v>784</v>
      </c>
    </row>
    <row r="236" spans="1:14" ht="33.75">
      <c r="A236" s="90" t="s">
        <v>1183</v>
      </c>
      <c r="B236" s="90" t="s">
        <v>1179</v>
      </c>
      <c r="C236" s="20" t="s">
        <v>858</v>
      </c>
      <c r="D236" s="90" t="s">
        <v>1184</v>
      </c>
      <c r="E236" s="1" t="s">
        <v>33</v>
      </c>
      <c r="F236" s="1" t="s">
        <v>860</v>
      </c>
      <c r="G236" s="10" t="s">
        <v>1185</v>
      </c>
      <c r="H236" s="102" t="s">
        <v>1186</v>
      </c>
      <c r="I236" s="98">
        <v>24560.7</v>
      </c>
      <c r="J236" s="1" t="s">
        <v>863</v>
      </c>
      <c r="K236" s="98">
        <f>I236/28</f>
        <v>877.1678571428572</v>
      </c>
      <c r="L236" s="101" t="s">
        <v>23</v>
      </c>
      <c r="M236" s="91" t="s">
        <v>820</v>
      </c>
      <c r="N236" s="91" t="s">
        <v>784</v>
      </c>
    </row>
    <row r="237" spans="1:14" ht="33.75">
      <c r="A237" s="90" t="s">
        <v>1187</v>
      </c>
      <c r="B237" s="90" t="s">
        <v>857</v>
      </c>
      <c r="C237" s="40" t="s">
        <v>858</v>
      </c>
      <c r="D237" s="40" t="s">
        <v>1188</v>
      </c>
      <c r="E237" s="41" t="s">
        <v>33</v>
      </c>
      <c r="F237" s="102" t="s">
        <v>860</v>
      </c>
      <c r="G237" s="41" t="s">
        <v>547</v>
      </c>
      <c r="H237" s="41" t="s">
        <v>510</v>
      </c>
      <c r="I237" s="98">
        <v>24560.7</v>
      </c>
      <c r="J237" s="101" t="s">
        <v>863</v>
      </c>
      <c r="K237" s="98">
        <f>I237/28</f>
        <v>877.1678571428572</v>
      </c>
      <c r="L237" s="101" t="s">
        <v>23</v>
      </c>
      <c r="M237" s="91" t="s">
        <v>820</v>
      </c>
      <c r="N237" s="91" t="s">
        <v>784</v>
      </c>
    </row>
    <row r="238" spans="1:14" ht="45">
      <c r="A238" s="90" t="s">
        <v>1326</v>
      </c>
      <c r="B238" s="90" t="s">
        <v>1179</v>
      </c>
      <c r="C238" s="40" t="s">
        <v>858</v>
      </c>
      <c r="D238" s="40" t="s">
        <v>1327</v>
      </c>
      <c r="E238" s="41" t="s">
        <v>33</v>
      </c>
      <c r="F238" s="102" t="s">
        <v>860</v>
      </c>
      <c r="G238" s="41" t="s">
        <v>1328</v>
      </c>
      <c r="H238" s="41" t="s">
        <v>1329</v>
      </c>
      <c r="I238" s="98">
        <v>24560.7</v>
      </c>
      <c r="J238" s="101" t="s">
        <v>1330</v>
      </c>
      <c r="K238" s="98">
        <f>I238/28</f>
        <v>877.1678571428572</v>
      </c>
      <c r="L238" s="101" t="s">
        <v>23</v>
      </c>
      <c r="M238" s="91" t="s">
        <v>820</v>
      </c>
      <c r="N238" s="91" t="s">
        <v>784</v>
      </c>
    </row>
    <row r="239" spans="1:14" ht="90">
      <c r="A239" s="138" t="s">
        <v>1254</v>
      </c>
      <c r="B239" s="134" t="s">
        <v>864</v>
      </c>
      <c r="C239" s="134" t="s">
        <v>865</v>
      </c>
      <c r="D239" s="135" t="s">
        <v>866</v>
      </c>
      <c r="E239" s="139" t="s">
        <v>151</v>
      </c>
      <c r="F239" s="139" t="s">
        <v>1255</v>
      </c>
      <c r="G239" s="139" t="s">
        <v>359</v>
      </c>
      <c r="H239" s="139" t="s">
        <v>194</v>
      </c>
      <c r="I239" s="93">
        <v>126959.4</v>
      </c>
      <c r="J239" s="101" t="s">
        <v>23</v>
      </c>
      <c r="K239" s="98" t="s">
        <v>23</v>
      </c>
      <c r="L239" s="101" t="s">
        <v>23</v>
      </c>
      <c r="M239" s="91" t="s">
        <v>1256</v>
      </c>
      <c r="N239" s="91" t="s">
        <v>1257</v>
      </c>
    </row>
    <row r="240" spans="1:14" ht="90">
      <c r="A240" s="90" t="s">
        <v>867</v>
      </c>
      <c r="B240" s="85" t="s">
        <v>864</v>
      </c>
      <c r="C240" s="120" t="s">
        <v>865</v>
      </c>
      <c r="D240" s="91" t="s">
        <v>866</v>
      </c>
      <c r="E240" s="92" t="s">
        <v>60</v>
      </c>
      <c r="F240" s="92" t="s">
        <v>868</v>
      </c>
      <c r="G240" s="92" t="s">
        <v>687</v>
      </c>
      <c r="H240" s="92" t="s">
        <v>63</v>
      </c>
      <c r="I240" s="93">
        <v>29304.799999999999</v>
      </c>
      <c r="J240" s="18" t="s">
        <v>1178</v>
      </c>
      <c r="K240" s="11">
        <f>+(I240/1)/108*5.4</f>
        <v>1465.24</v>
      </c>
      <c r="L240" s="119" t="s">
        <v>23</v>
      </c>
      <c r="M240" s="91" t="s">
        <v>869</v>
      </c>
      <c r="N240" s="91" t="s">
        <v>870</v>
      </c>
    </row>
    <row r="241" spans="1:14" ht="90">
      <c r="A241" s="90" t="s">
        <v>871</v>
      </c>
      <c r="B241" s="85" t="s">
        <v>864</v>
      </c>
      <c r="C241" s="120" t="s">
        <v>865</v>
      </c>
      <c r="D241" s="91" t="s">
        <v>866</v>
      </c>
      <c r="E241" s="92" t="s">
        <v>60</v>
      </c>
      <c r="F241" s="92" t="s">
        <v>872</v>
      </c>
      <c r="G241" s="92" t="s">
        <v>687</v>
      </c>
      <c r="H241" s="92" t="s">
        <v>63</v>
      </c>
      <c r="I241" s="93">
        <v>58609.599999999999</v>
      </c>
      <c r="J241" s="18" t="s">
        <v>1178</v>
      </c>
      <c r="K241" s="11">
        <f>+(I241/2)/108*5.4</f>
        <v>1465.24</v>
      </c>
      <c r="L241" s="119" t="s">
        <v>23</v>
      </c>
      <c r="M241" s="91" t="s">
        <v>869</v>
      </c>
      <c r="N241" s="91" t="s">
        <v>870</v>
      </c>
    </row>
    <row r="242" spans="1:14" ht="90">
      <c r="A242" s="90" t="s">
        <v>873</v>
      </c>
      <c r="B242" s="85" t="s">
        <v>864</v>
      </c>
      <c r="C242" s="120" t="s">
        <v>865</v>
      </c>
      <c r="D242" s="91" t="s">
        <v>866</v>
      </c>
      <c r="E242" s="92" t="s">
        <v>874</v>
      </c>
      <c r="F242" s="92" t="s">
        <v>875</v>
      </c>
      <c r="G242" s="92" t="s">
        <v>687</v>
      </c>
      <c r="H242" s="92" t="s">
        <v>63</v>
      </c>
      <c r="I242" s="93">
        <v>29304.799999999999</v>
      </c>
      <c r="J242" s="18" t="s">
        <v>1178</v>
      </c>
      <c r="K242" s="11">
        <f>+(I242/1)/108*5.4</f>
        <v>1465.24</v>
      </c>
      <c r="L242" s="119" t="s">
        <v>23</v>
      </c>
      <c r="M242" s="91" t="s">
        <v>869</v>
      </c>
      <c r="N242" s="91" t="s">
        <v>870</v>
      </c>
    </row>
    <row r="243" spans="1:14" ht="90">
      <c r="A243" s="90" t="s">
        <v>876</v>
      </c>
      <c r="B243" s="85" t="s">
        <v>864</v>
      </c>
      <c r="C243" s="120" t="s">
        <v>865</v>
      </c>
      <c r="D243" s="91" t="s">
        <v>866</v>
      </c>
      <c r="E243" s="92" t="s">
        <v>874</v>
      </c>
      <c r="F243" s="92" t="s">
        <v>877</v>
      </c>
      <c r="G243" s="92" t="s">
        <v>687</v>
      </c>
      <c r="H243" s="92" t="s">
        <v>63</v>
      </c>
      <c r="I243" s="93">
        <v>58609.599999999999</v>
      </c>
      <c r="J243" s="18" t="s">
        <v>1178</v>
      </c>
      <c r="K243" s="11">
        <f>+(I243/2)/108*5.4</f>
        <v>1465.24</v>
      </c>
      <c r="L243" s="119" t="s">
        <v>23</v>
      </c>
      <c r="M243" s="91" t="s">
        <v>869</v>
      </c>
      <c r="N243" s="91" t="s">
        <v>878</v>
      </c>
    </row>
    <row r="244" spans="1:14" ht="22.5">
      <c r="A244" s="90" t="s">
        <v>879</v>
      </c>
      <c r="B244" s="91" t="s">
        <v>880</v>
      </c>
      <c r="C244" s="91" t="s">
        <v>881</v>
      </c>
      <c r="D244" s="91" t="s">
        <v>882</v>
      </c>
      <c r="E244" s="92" t="s">
        <v>252</v>
      </c>
      <c r="F244" s="92" t="s">
        <v>883</v>
      </c>
      <c r="G244" s="92" t="s">
        <v>884</v>
      </c>
      <c r="H244" s="92" t="s">
        <v>885</v>
      </c>
      <c r="I244" s="98">
        <v>623040.4</v>
      </c>
      <c r="J244" s="101" t="s">
        <v>886</v>
      </c>
      <c r="K244" s="98">
        <f>(I244/12)*0.13</f>
        <v>6749.6043333333337</v>
      </c>
      <c r="L244" s="125" t="s">
        <v>23</v>
      </c>
      <c r="M244" s="113" t="s">
        <v>820</v>
      </c>
      <c r="N244" s="113" t="s">
        <v>784</v>
      </c>
    </row>
    <row r="245" spans="1:14" ht="45">
      <c r="A245" s="90" t="s">
        <v>887</v>
      </c>
      <c r="B245" s="91" t="s">
        <v>888</v>
      </c>
      <c r="C245" s="91" t="s">
        <v>889</v>
      </c>
      <c r="D245" s="91" t="s">
        <v>890</v>
      </c>
      <c r="E245" s="92" t="s">
        <v>252</v>
      </c>
      <c r="F245" s="92" t="s">
        <v>891</v>
      </c>
      <c r="G245" s="92" t="s">
        <v>892</v>
      </c>
      <c r="H245" s="92" t="s">
        <v>78</v>
      </c>
      <c r="I245" s="98">
        <v>527573.30000000005</v>
      </c>
      <c r="J245" s="101" t="s">
        <v>893</v>
      </c>
      <c r="K245" s="98">
        <f>(I245/300)*3.29</f>
        <v>5785.7205233333334</v>
      </c>
      <c r="L245" s="101" t="s">
        <v>23</v>
      </c>
      <c r="M245" s="91" t="s">
        <v>820</v>
      </c>
      <c r="N245" s="91" t="s">
        <v>784</v>
      </c>
    </row>
    <row r="246" spans="1:14" ht="45">
      <c r="A246" s="82" t="s">
        <v>894</v>
      </c>
      <c r="B246" s="83" t="s">
        <v>895</v>
      </c>
      <c r="C246" s="7" t="s">
        <v>896</v>
      </c>
      <c r="D246" s="7" t="s">
        <v>897</v>
      </c>
      <c r="E246" s="118" t="s">
        <v>33</v>
      </c>
      <c r="F246" s="118" t="s">
        <v>898</v>
      </c>
      <c r="G246" s="118" t="s">
        <v>899</v>
      </c>
      <c r="H246" s="118" t="s">
        <v>226</v>
      </c>
      <c r="I246" s="98">
        <v>77300.2</v>
      </c>
      <c r="J246" s="103" t="s">
        <v>23</v>
      </c>
      <c r="K246" s="103" t="s">
        <v>23</v>
      </c>
      <c r="L246" s="103" t="s">
        <v>23</v>
      </c>
      <c r="M246" s="47" t="s">
        <v>900</v>
      </c>
      <c r="N246" s="49" t="s">
        <v>117</v>
      </c>
    </row>
    <row r="247" spans="1:14" ht="22.5">
      <c r="A247" s="90" t="s">
        <v>901</v>
      </c>
      <c r="B247" s="91" t="s">
        <v>902</v>
      </c>
      <c r="C247" s="91" t="s">
        <v>903</v>
      </c>
      <c r="D247" s="91" t="s">
        <v>904</v>
      </c>
      <c r="E247" s="92" t="s">
        <v>621</v>
      </c>
      <c r="F247" s="92" t="s">
        <v>905</v>
      </c>
      <c r="G247" s="92" t="s">
        <v>906</v>
      </c>
      <c r="H247" s="92" t="s">
        <v>907</v>
      </c>
      <c r="I247" s="98">
        <v>163575.5</v>
      </c>
      <c r="J247" s="101" t="s">
        <v>908</v>
      </c>
      <c r="K247" s="98">
        <f>(I247/10)*0.34</f>
        <v>5561.567</v>
      </c>
      <c r="L247" s="101" t="s">
        <v>23</v>
      </c>
      <c r="M247" s="91" t="s">
        <v>820</v>
      </c>
      <c r="N247" s="91" t="s">
        <v>784</v>
      </c>
    </row>
    <row r="248" spans="1:14" ht="33.75">
      <c r="A248" s="90" t="s">
        <v>909</v>
      </c>
      <c r="B248" s="91" t="s">
        <v>910</v>
      </c>
      <c r="C248" s="91" t="s">
        <v>911</v>
      </c>
      <c r="D248" s="91" t="s">
        <v>912</v>
      </c>
      <c r="E248" s="92" t="s">
        <v>33</v>
      </c>
      <c r="F248" s="92" t="s">
        <v>913</v>
      </c>
      <c r="G248" s="92" t="s">
        <v>914</v>
      </c>
      <c r="H248" s="92" t="s">
        <v>226</v>
      </c>
      <c r="I248" s="98">
        <v>11190.7</v>
      </c>
      <c r="J248" s="101" t="s">
        <v>23</v>
      </c>
      <c r="K248" s="98" t="s">
        <v>23</v>
      </c>
      <c r="L248" s="101" t="s">
        <v>23</v>
      </c>
      <c r="M248" s="91" t="s">
        <v>915</v>
      </c>
      <c r="N248" s="50" t="s">
        <v>784</v>
      </c>
    </row>
    <row r="249" spans="1:14" ht="33.75">
      <c r="A249" s="90" t="s">
        <v>916</v>
      </c>
      <c r="B249" s="91" t="s">
        <v>910</v>
      </c>
      <c r="C249" s="91" t="s">
        <v>911</v>
      </c>
      <c r="D249" s="91" t="s">
        <v>912</v>
      </c>
      <c r="E249" s="92" t="s">
        <v>33</v>
      </c>
      <c r="F249" s="92" t="s">
        <v>917</v>
      </c>
      <c r="G249" s="92" t="s">
        <v>914</v>
      </c>
      <c r="H249" s="92" t="s">
        <v>226</v>
      </c>
      <c r="I249" s="98">
        <v>111906.9</v>
      </c>
      <c r="J249" s="101" t="s">
        <v>23</v>
      </c>
      <c r="K249" s="98" t="s">
        <v>23</v>
      </c>
      <c r="L249" s="101" t="s">
        <v>23</v>
      </c>
      <c r="M249" s="91" t="s">
        <v>915</v>
      </c>
      <c r="N249" s="50" t="s">
        <v>784</v>
      </c>
    </row>
    <row r="250" spans="1:14" ht="33.75">
      <c r="A250" s="90" t="s">
        <v>918</v>
      </c>
      <c r="B250" s="91" t="s">
        <v>910</v>
      </c>
      <c r="C250" s="91" t="s">
        <v>911</v>
      </c>
      <c r="D250" s="91" t="s">
        <v>912</v>
      </c>
      <c r="E250" s="92" t="s">
        <v>33</v>
      </c>
      <c r="F250" s="92" t="s">
        <v>919</v>
      </c>
      <c r="G250" s="92" t="s">
        <v>914</v>
      </c>
      <c r="H250" s="92" t="s">
        <v>226</v>
      </c>
      <c r="I250" s="98">
        <v>109104.2</v>
      </c>
      <c r="J250" s="101" t="s">
        <v>23</v>
      </c>
      <c r="K250" s="98" t="s">
        <v>23</v>
      </c>
      <c r="L250" s="101" t="s">
        <v>23</v>
      </c>
      <c r="M250" s="91" t="s">
        <v>915</v>
      </c>
      <c r="N250" s="50" t="s">
        <v>784</v>
      </c>
    </row>
    <row r="251" spans="1:14" ht="180">
      <c r="A251" s="100">
        <v>1014018</v>
      </c>
      <c r="B251" s="96" t="s">
        <v>920</v>
      </c>
      <c r="C251" s="96" t="s">
        <v>921</v>
      </c>
      <c r="D251" s="96" t="s">
        <v>922</v>
      </c>
      <c r="E251" s="102" t="s">
        <v>923</v>
      </c>
      <c r="F251" s="102" t="s">
        <v>924</v>
      </c>
      <c r="G251" s="102" t="s">
        <v>925</v>
      </c>
      <c r="H251" s="102" t="s">
        <v>926</v>
      </c>
      <c r="I251" s="93">
        <v>65486.2</v>
      </c>
      <c r="J251" s="102" t="s">
        <v>927</v>
      </c>
      <c r="K251" s="93">
        <f>+(I251/28)/15*15</f>
        <v>2338.792857142857</v>
      </c>
      <c r="L251" s="102" t="s">
        <v>23</v>
      </c>
      <c r="M251" s="91" t="s">
        <v>928</v>
      </c>
      <c r="N251" s="91" t="s">
        <v>784</v>
      </c>
    </row>
    <row r="252" spans="1:14" ht="45">
      <c r="A252" s="51" t="s">
        <v>933</v>
      </c>
      <c r="B252" s="51" t="s">
        <v>934</v>
      </c>
      <c r="C252" s="51" t="s">
        <v>935</v>
      </c>
      <c r="D252" s="52" t="s">
        <v>936</v>
      </c>
      <c r="E252" s="53" t="s">
        <v>874</v>
      </c>
      <c r="F252" s="53" t="s">
        <v>937</v>
      </c>
      <c r="G252" s="53" t="s">
        <v>938</v>
      </c>
      <c r="H252" s="53" t="s">
        <v>265</v>
      </c>
      <c r="I252" s="98">
        <v>124015</v>
      </c>
      <c r="J252" s="101" t="s">
        <v>23</v>
      </c>
      <c r="K252" s="101" t="s">
        <v>23</v>
      </c>
      <c r="L252" s="101" t="s">
        <v>23</v>
      </c>
      <c r="M252" s="32" t="s">
        <v>814</v>
      </c>
      <c r="N252" s="32" t="s">
        <v>939</v>
      </c>
    </row>
    <row r="253" spans="1:14" ht="360">
      <c r="A253" s="90" t="s">
        <v>940</v>
      </c>
      <c r="B253" s="91" t="s">
        <v>941</v>
      </c>
      <c r="C253" s="91" t="s">
        <v>942</v>
      </c>
      <c r="D253" s="91" t="s">
        <v>943</v>
      </c>
      <c r="E253" s="92" t="s">
        <v>27</v>
      </c>
      <c r="F253" s="92" t="s">
        <v>944</v>
      </c>
      <c r="G253" s="92" t="s">
        <v>945</v>
      </c>
      <c r="H253" s="92" t="s">
        <v>946</v>
      </c>
      <c r="I253" s="98">
        <v>25011.8</v>
      </c>
      <c r="J253" s="93" t="s">
        <v>947</v>
      </c>
      <c r="K253" s="93">
        <f>I253/4/25*7</f>
        <v>1750.826</v>
      </c>
      <c r="L253" s="107" t="s">
        <v>23</v>
      </c>
      <c r="M253" s="91" t="s">
        <v>948</v>
      </c>
      <c r="N253" s="91" t="s">
        <v>949</v>
      </c>
    </row>
    <row r="254" spans="1:14" ht="360">
      <c r="A254" s="90" t="s">
        <v>950</v>
      </c>
      <c r="B254" s="91" t="s">
        <v>941</v>
      </c>
      <c r="C254" s="91" t="s">
        <v>942</v>
      </c>
      <c r="D254" s="91" t="s">
        <v>943</v>
      </c>
      <c r="E254" s="106" t="s">
        <v>60</v>
      </c>
      <c r="F254" s="106" t="s">
        <v>951</v>
      </c>
      <c r="G254" s="92" t="s">
        <v>287</v>
      </c>
      <c r="H254" s="93" t="s">
        <v>946</v>
      </c>
      <c r="I254" s="93">
        <v>49897</v>
      </c>
      <c r="J254" s="93" t="s">
        <v>947</v>
      </c>
      <c r="K254" s="93">
        <f>I254/4/50*7</f>
        <v>1746.395</v>
      </c>
      <c r="L254" s="107" t="s">
        <v>23</v>
      </c>
      <c r="M254" s="91" t="s">
        <v>948</v>
      </c>
      <c r="N254" s="91" t="s">
        <v>949</v>
      </c>
    </row>
    <row r="255" spans="1:14" ht="360">
      <c r="A255" s="90" t="s">
        <v>952</v>
      </c>
      <c r="B255" s="91" t="s">
        <v>941</v>
      </c>
      <c r="C255" s="91" t="s">
        <v>942</v>
      </c>
      <c r="D255" s="91" t="s">
        <v>943</v>
      </c>
      <c r="E255" s="92" t="s">
        <v>953</v>
      </c>
      <c r="F255" s="92" t="s">
        <v>954</v>
      </c>
      <c r="G255" s="92" t="s">
        <v>945</v>
      </c>
      <c r="H255" s="92" t="s">
        <v>946</v>
      </c>
      <c r="I255" s="93">
        <v>49897</v>
      </c>
      <c r="J255" s="93" t="s">
        <v>947</v>
      </c>
      <c r="K255" s="93">
        <f>I255/4/50*7</f>
        <v>1746.395</v>
      </c>
      <c r="L255" s="107" t="s">
        <v>23</v>
      </c>
      <c r="M255" s="91" t="s">
        <v>948</v>
      </c>
      <c r="N255" s="91" t="s">
        <v>949</v>
      </c>
    </row>
    <row r="256" spans="1:14" ht="360">
      <c r="A256" s="90" t="s">
        <v>955</v>
      </c>
      <c r="B256" s="91" t="s">
        <v>941</v>
      </c>
      <c r="C256" s="120" t="s">
        <v>942</v>
      </c>
      <c r="D256" s="91" t="s">
        <v>956</v>
      </c>
      <c r="E256" s="92" t="s">
        <v>60</v>
      </c>
      <c r="F256" s="92" t="s">
        <v>957</v>
      </c>
      <c r="G256" s="92" t="s">
        <v>958</v>
      </c>
      <c r="H256" s="92" t="s">
        <v>63</v>
      </c>
      <c r="I256" s="93">
        <v>22813.200000000001</v>
      </c>
      <c r="J256" s="17" t="s">
        <v>947</v>
      </c>
      <c r="K256" s="93">
        <f>(I256/4)/25*7</f>
        <v>1596.924</v>
      </c>
      <c r="L256" s="107" t="s">
        <v>23</v>
      </c>
      <c r="M256" s="91" t="s">
        <v>948</v>
      </c>
      <c r="N256" s="91" t="s">
        <v>949</v>
      </c>
    </row>
    <row r="257" spans="1:14" ht="360">
      <c r="A257" s="90" t="s">
        <v>959</v>
      </c>
      <c r="B257" s="91" t="s">
        <v>941</v>
      </c>
      <c r="C257" s="120" t="s">
        <v>942</v>
      </c>
      <c r="D257" s="91" t="s">
        <v>956</v>
      </c>
      <c r="E257" s="92" t="s">
        <v>874</v>
      </c>
      <c r="F257" s="92" t="s">
        <v>960</v>
      </c>
      <c r="G257" s="92" t="s">
        <v>958</v>
      </c>
      <c r="H257" s="92" t="s">
        <v>63</v>
      </c>
      <c r="I257" s="93">
        <v>45585.3</v>
      </c>
      <c r="J257" s="17" t="s">
        <v>947</v>
      </c>
      <c r="K257" s="93">
        <f>(I257/4)/50*7</f>
        <v>1595.4855</v>
      </c>
      <c r="L257" s="107" t="s">
        <v>23</v>
      </c>
      <c r="M257" s="91" t="s">
        <v>948</v>
      </c>
      <c r="N257" s="91" t="s">
        <v>949</v>
      </c>
    </row>
    <row r="258" spans="1:14" ht="270">
      <c r="A258" s="90" t="s">
        <v>961</v>
      </c>
      <c r="B258" s="91" t="s">
        <v>962</v>
      </c>
      <c r="C258" s="91" t="s">
        <v>963</v>
      </c>
      <c r="D258" s="91" t="s">
        <v>964</v>
      </c>
      <c r="E258" s="92" t="s">
        <v>151</v>
      </c>
      <c r="F258" s="92" t="s">
        <v>965</v>
      </c>
      <c r="G258" s="92" t="s">
        <v>246</v>
      </c>
      <c r="H258" s="92" t="s">
        <v>87</v>
      </c>
      <c r="I258" s="98">
        <v>31628.2</v>
      </c>
      <c r="J258" s="93" t="s">
        <v>966</v>
      </c>
      <c r="K258" s="93">
        <f>I258/1/100*3.75</f>
        <v>1186.0574999999999</v>
      </c>
      <c r="L258" s="107" t="s">
        <v>23</v>
      </c>
      <c r="M258" s="91" t="s">
        <v>967</v>
      </c>
      <c r="N258" s="91" t="s">
        <v>968</v>
      </c>
    </row>
    <row r="259" spans="1:14" ht="270">
      <c r="A259" s="90" t="s">
        <v>969</v>
      </c>
      <c r="B259" s="91" t="s">
        <v>962</v>
      </c>
      <c r="C259" s="91" t="s">
        <v>963</v>
      </c>
      <c r="D259" s="91" t="s">
        <v>970</v>
      </c>
      <c r="E259" s="92" t="s">
        <v>151</v>
      </c>
      <c r="F259" s="92" t="s">
        <v>373</v>
      </c>
      <c r="G259" s="92" t="s">
        <v>1336</v>
      </c>
      <c r="H259" s="92" t="s">
        <v>1337</v>
      </c>
      <c r="I259" s="98">
        <v>17830.599999999999</v>
      </c>
      <c r="J259" s="93" t="s">
        <v>966</v>
      </c>
      <c r="K259" s="93">
        <f>I259/1/100*3.75</f>
        <v>668.64749999999992</v>
      </c>
      <c r="L259" s="107" t="s">
        <v>23</v>
      </c>
      <c r="M259" s="91" t="s">
        <v>971</v>
      </c>
      <c r="N259" s="91" t="s">
        <v>968</v>
      </c>
    </row>
    <row r="260" spans="1:14" ht="270">
      <c r="A260" s="90" t="s">
        <v>972</v>
      </c>
      <c r="B260" s="91" t="s">
        <v>962</v>
      </c>
      <c r="C260" s="91" t="s">
        <v>963</v>
      </c>
      <c r="D260" s="91" t="s">
        <v>973</v>
      </c>
      <c r="E260" s="92" t="s">
        <v>151</v>
      </c>
      <c r="F260" s="92" t="s">
        <v>373</v>
      </c>
      <c r="G260" s="92" t="s">
        <v>974</v>
      </c>
      <c r="H260" s="92" t="s">
        <v>975</v>
      </c>
      <c r="I260" s="98">
        <v>17830.599999999999</v>
      </c>
      <c r="J260" s="93" t="s">
        <v>966</v>
      </c>
      <c r="K260" s="93">
        <f>I260/1/100*3.75</f>
        <v>668.64749999999992</v>
      </c>
      <c r="L260" s="107" t="s">
        <v>23</v>
      </c>
      <c r="M260" s="91" t="s">
        <v>976</v>
      </c>
      <c r="N260" s="91" t="s">
        <v>968</v>
      </c>
    </row>
    <row r="261" spans="1:14" s="108" customFormat="1" ht="337.5">
      <c r="A261" s="131" t="s">
        <v>977</v>
      </c>
      <c r="B261" s="115" t="s">
        <v>978</v>
      </c>
      <c r="C261" s="115" t="s">
        <v>979</v>
      </c>
      <c r="D261" s="115" t="s">
        <v>980</v>
      </c>
      <c r="E261" s="54" t="s">
        <v>874</v>
      </c>
      <c r="F261" s="102" t="s">
        <v>981</v>
      </c>
      <c r="G261" s="54" t="s">
        <v>982</v>
      </c>
      <c r="H261" s="54" t="s">
        <v>72</v>
      </c>
      <c r="I261" s="93">
        <v>42703.200000000004</v>
      </c>
      <c r="J261" s="55" t="s">
        <v>983</v>
      </c>
      <c r="K261" s="93">
        <f>I261/2/40*2.9</f>
        <v>1547.9910000000002</v>
      </c>
      <c r="L261" s="107" t="s">
        <v>23</v>
      </c>
      <c r="M261" s="91" t="s">
        <v>984</v>
      </c>
      <c r="N261" s="91" t="s">
        <v>985</v>
      </c>
    </row>
    <row r="262" spans="1:14" s="133" customFormat="1" ht="112.5">
      <c r="A262" s="90" t="s">
        <v>986</v>
      </c>
      <c r="B262" s="104" t="s">
        <v>978</v>
      </c>
      <c r="C262" s="122" t="s">
        <v>979</v>
      </c>
      <c r="D262" s="122" t="s">
        <v>980</v>
      </c>
      <c r="E262" s="39" t="s">
        <v>60</v>
      </c>
      <c r="F262" s="39" t="s">
        <v>987</v>
      </c>
      <c r="G262" s="39" t="s">
        <v>982</v>
      </c>
      <c r="H262" s="39" t="s">
        <v>72</v>
      </c>
      <c r="I262" s="98">
        <v>21383.1</v>
      </c>
      <c r="J262" s="93" t="s">
        <v>983</v>
      </c>
      <c r="K262" s="98">
        <f>I262/2/20*2.9</f>
        <v>1550.2747499999998</v>
      </c>
      <c r="L262" s="101" t="s">
        <v>23</v>
      </c>
      <c r="M262" s="91" t="s">
        <v>988</v>
      </c>
      <c r="N262" s="91" t="s">
        <v>985</v>
      </c>
    </row>
    <row r="263" spans="1:14" s="133" customFormat="1" ht="135">
      <c r="A263" s="105" t="s">
        <v>989</v>
      </c>
      <c r="B263" s="104" t="s">
        <v>978</v>
      </c>
      <c r="C263" s="122" t="s">
        <v>979</v>
      </c>
      <c r="D263" s="122" t="s">
        <v>980</v>
      </c>
      <c r="E263" s="39" t="s">
        <v>874</v>
      </c>
      <c r="F263" s="39" t="s">
        <v>990</v>
      </c>
      <c r="G263" s="39" t="s">
        <v>982</v>
      </c>
      <c r="H263" s="39" t="s">
        <v>72</v>
      </c>
      <c r="I263" s="98">
        <v>52123.199999999997</v>
      </c>
      <c r="J263" s="93" t="s">
        <v>983</v>
      </c>
      <c r="K263" s="98">
        <f>I263/80*2.9</f>
        <v>1889.4659999999999</v>
      </c>
      <c r="L263" s="101" t="s">
        <v>23</v>
      </c>
      <c r="M263" s="91" t="s">
        <v>991</v>
      </c>
      <c r="N263" s="91" t="s">
        <v>985</v>
      </c>
    </row>
    <row r="264" spans="1:14" s="133" customFormat="1" ht="337.5">
      <c r="A264" s="105" t="s">
        <v>994</v>
      </c>
      <c r="B264" s="104" t="s">
        <v>978</v>
      </c>
      <c r="C264" s="91" t="s">
        <v>979</v>
      </c>
      <c r="D264" s="91" t="s">
        <v>992</v>
      </c>
      <c r="E264" s="92" t="s">
        <v>874</v>
      </c>
      <c r="F264" s="39" t="s">
        <v>995</v>
      </c>
      <c r="G264" s="39" t="s">
        <v>1246</v>
      </c>
      <c r="H264" s="39" t="s">
        <v>1247</v>
      </c>
      <c r="I264" s="93">
        <v>32688.6</v>
      </c>
      <c r="J264" s="101" t="s">
        <v>983</v>
      </c>
      <c r="K264" s="98">
        <f t="shared" ref="K264:K268" si="2">I264/2/40*2.9</f>
        <v>1184.9617499999999</v>
      </c>
      <c r="L264" s="98" t="s">
        <v>23</v>
      </c>
      <c r="M264" s="91" t="s">
        <v>984</v>
      </c>
      <c r="N264" s="91" t="s">
        <v>985</v>
      </c>
    </row>
    <row r="265" spans="1:14" s="133" customFormat="1" ht="337.5">
      <c r="A265" s="100" t="s">
        <v>996</v>
      </c>
      <c r="B265" s="96" t="s">
        <v>978</v>
      </c>
      <c r="C265" s="96" t="s">
        <v>979</v>
      </c>
      <c r="D265" s="91" t="s">
        <v>997</v>
      </c>
      <c r="E265" s="92" t="s">
        <v>60</v>
      </c>
      <c r="F265" s="92" t="s">
        <v>998</v>
      </c>
      <c r="G265" s="92" t="s">
        <v>999</v>
      </c>
      <c r="H265" s="92" t="s">
        <v>63</v>
      </c>
      <c r="I265" s="93">
        <v>32688.6</v>
      </c>
      <c r="J265" s="101" t="s">
        <v>983</v>
      </c>
      <c r="K265" s="98">
        <f t="shared" si="2"/>
        <v>1184.9617499999999</v>
      </c>
      <c r="L265" s="101" t="s">
        <v>23</v>
      </c>
      <c r="M265" s="91" t="s">
        <v>984</v>
      </c>
      <c r="N265" s="91" t="s">
        <v>985</v>
      </c>
    </row>
    <row r="266" spans="1:14" s="133" customFormat="1" ht="337.5">
      <c r="A266" s="100" t="s">
        <v>1000</v>
      </c>
      <c r="B266" s="96" t="s">
        <v>978</v>
      </c>
      <c r="C266" s="96" t="s">
        <v>979</v>
      </c>
      <c r="D266" s="91" t="s">
        <v>997</v>
      </c>
      <c r="E266" s="92" t="s">
        <v>874</v>
      </c>
      <c r="F266" s="92" t="s">
        <v>1001</v>
      </c>
      <c r="G266" s="92" t="s">
        <v>999</v>
      </c>
      <c r="H266" s="92" t="s">
        <v>63</v>
      </c>
      <c r="I266" s="93">
        <v>32688.6</v>
      </c>
      <c r="J266" s="101" t="s">
        <v>983</v>
      </c>
      <c r="K266" s="98">
        <f t="shared" si="2"/>
        <v>1184.9617499999999</v>
      </c>
      <c r="L266" s="101" t="s">
        <v>23</v>
      </c>
      <c r="M266" s="91" t="s">
        <v>984</v>
      </c>
      <c r="N266" s="91" t="s">
        <v>985</v>
      </c>
    </row>
    <row r="267" spans="1:14" s="133" customFormat="1" ht="337.5">
      <c r="A267" s="100" t="s">
        <v>1002</v>
      </c>
      <c r="B267" s="96" t="s">
        <v>978</v>
      </c>
      <c r="C267" s="91" t="s">
        <v>979</v>
      </c>
      <c r="D267" s="91" t="s">
        <v>1003</v>
      </c>
      <c r="E267" s="102" t="s">
        <v>874</v>
      </c>
      <c r="F267" s="92" t="s">
        <v>1004</v>
      </c>
      <c r="G267" s="92" t="s">
        <v>62</v>
      </c>
      <c r="H267" s="92" t="s">
        <v>63</v>
      </c>
      <c r="I267" s="93">
        <v>32688.6</v>
      </c>
      <c r="J267" s="97" t="s">
        <v>983</v>
      </c>
      <c r="K267" s="98">
        <f t="shared" si="2"/>
        <v>1184.9617499999999</v>
      </c>
      <c r="L267" s="94" t="s">
        <v>23</v>
      </c>
      <c r="M267" s="91" t="s">
        <v>984</v>
      </c>
      <c r="N267" s="91" t="s">
        <v>985</v>
      </c>
    </row>
    <row r="268" spans="1:14" s="133" customFormat="1" ht="337.5">
      <c r="A268" s="100" t="s">
        <v>1005</v>
      </c>
      <c r="B268" s="96" t="s">
        <v>978</v>
      </c>
      <c r="C268" s="91" t="s">
        <v>979</v>
      </c>
      <c r="D268" s="91" t="s">
        <v>1003</v>
      </c>
      <c r="E268" s="102" t="s">
        <v>60</v>
      </c>
      <c r="F268" s="92" t="s">
        <v>993</v>
      </c>
      <c r="G268" s="92" t="s">
        <v>62</v>
      </c>
      <c r="H268" s="92" t="s">
        <v>63</v>
      </c>
      <c r="I268" s="93">
        <v>32688.6</v>
      </c>
      <c r="J268" s="93" t="s">
        <v>983</v>
      </c>
      <c r="K268" s="98">
        <f t="shared" si="2"/>
        <v>1184.9617499999999</v>
      </c>
      <c r="L268" s="94" t="s">
        <v>23</v>
      </c>
      <c r="M268" s="91" t="s">
        <v>984</v>
      </c>
      <c r="N268" s="91" t="s">
        <v>985</v>
      </c>
    </row>
    <row r="269" spans="1:14" s="133" customFormat="1" ht="337.5">
      <c r="A269" s="90" t="s">
        <v>1006</v>
      </c>
      <c r="B269" s="96" t="s">
        <v>978</v>
      </c>
      <c r="C269" s="20" t="s">
        <v>979</v>
      </c>
      <c r="D269" s="20" t="s">
        <v>1007</v>
      </c>
      <c r="E269" s="114" t="s">
        <v>874</v>
      </c>
      <c r="F269" s="114" t="s">
        <v>1008</v>
      </c>
      <c r="G269" s="114" t="s">
        <v>1009</v>
      </c>
      <c r="H269" s="114" t="s">
        <v>72</v>
      </c>
      <c r="I269" s="93">
        <v>32688.6</v>
      </c>
      <c r="J269" s="93" t="s">
        <v>1010</v>
      </c>
      <c r="K269" s="93">
        <f>+(I269/2)/40*2.9</f>
        <v>1184.9617499999999</v>
      </c>
      <c r="L269" s="94" t="s">
        <v>23</v>
      </c>
      <c r="M269" s="56" t="s">
        <v>984</v>
      </c>
      <c r="N269" s="91" t="s">
        <v>985</v>
      </c>
    </row>
    <row r="270" spans="1:14" s="133" customFormat="1" ht="337.5">
      <c r="A270" s="90" t="s">
        <v>1011</v>
      </c>
      <c r="B270" s="96" t="s">
        <v>978</v>
      </c>
      <c r="C270" s="20" t="s">
        <v>979</v>
      </c>
      <c r="D270" s="20" t="s">
        <v>1007</v>
      </c>
      <c r="E270" s="114" t="s">
        <v>60</v>
      </c>
      <c r="F270" s="114" t="s">
        <v>1012</v>
      </c>
      <c r="G270" s="114" t="s">
        <v>1009</v>
      </c>
      <c r="H270" s="114" t="s">
        <v>72</v>
      </c>
      <c r="I270" s="93">
        <v>32688.6</v>
      </c>
      <c r="J270" s="93" t="s">
        <v>1010</v>
      </c>
      <c r="K270" s="93">
        <f>+(I270/2)/40*2.9</f>
        <v>1184.9617499999999</v>
      </c>
      <c r="L270" s="94" t="s">
        <v>23</v>
      </c>
      <c r="M270" s="56" t="s">
        <v>984</v>
      </c>
      <c r="N270" s="91" t="s">
        <v>985</v>
      </c>
    </row>
    <row r="271" spans="1:14" s="133" customFormat="1" ht="135">
      <c r="A271" s="90" t="s">
        <v>1013</v>
      </c>
      <c r="B271" s="96" t="s">
        <v>978</v>
      </c>
      <c r="C271" s="91" t="s">
        <v>979</v>
      </c>
      <c r="D271" s="91" t="s">
        <v>1007</v>
      </c>
      <c r="E271" s="114" t="s">
        <v>60</v>
      </c>
      <c r="F271" s="114" t="s">
        <v>1014</v>
      </c>
      <c r="G271" s="114" t="s">
        <v>1009</v>
      </c>
      <c r="H271" s="114" t="s">
        <v>72</v>
      </c>
      <c r="I271" s="93">
        <v>40485.300000000003</v>
      </c>
      <c r="J271" s="93" t="s">
        <v>1010</v>
      </c>
      <c r="K271" s="93">
        <f>+(I271/1)/80*2.9</f>
        <v>1467.5921250000001</v>
      </c>
      <c r="L271" s="94" t="s">
        <v>23</v>
      </c>
      <c r="M271" s="96" t="s">
        <v>1015</v>
      </c>
      <c r="N271" s="91" t="s">
        <v>985</v>
      </c>
    </row>
    <row r="272" spans="1:14" s="133" customFormat="1" ht="337.5">
      <c r="A272" s="116" t="s">
        <v>1016</v>
      </c>
      <c r="B272" s="116" t="s">
        <v>978</v>
      </c>
      <c r="C272" s="20" t="s">
        <v>979</v>
      </c>
      <c r="D272" s="91" t="s">
        <v>1017</v>
      </c>
      <c r="E272" s="1" t="s">
        <v>874</v>
      </c>
      <c r="F272" s="1" t="s">
        <v>1018</v>
      </c>
      <c r="G272" s="92" t="s">
        <v>1019</v>
      </c>
      <c r="H272" s="92" t="s">
        <v>1020</v>
      </c>
      <c r="I272" s="93">
        <v>32688.6</v>
      </c>
      <c r="J272" s="93" t="s">
        <v>983</v>
      </c>
      <c r="K272" s="93">
        <f>I272/2/40*2.9</f>
        <v>1184.9617499999999</v>
      </c>
      <c r="L272" s="94" t="s">
        <v>23</v>
      </c>
      <c r="M272" s="57" t="s">
        <v>984</v>
      </c>
      <c r="N272" s="91" t="s">
        <v>985</v>
      </c>
    </row>
    <row r="273" spans="1:14" ht="258.75">
      <c r="A273" s="90" t="s">
        <v>1021</v>
      </c>
      <c r="B273" s="91" t="s">
        <v>1022</v>
      </c>
      <c r="C273" s="91" t="s">
        <v>1023</v>
      </c>
      <c r="D273" s="91" t="s">
        <v>1024</v>
      </c>
      <c r="E273" s="92" t="s">
        <v>60</v>
      </c>
      <c r="F273" s="92" t="s">
        <v>1025</v>
      </c>
      <c r="G273" s="92" t="s">
        <v>246</v>
      </c>
      <c r="H273" s="92" t="s">
        <v>87</v>
      </c>
      <c r="I273" s="15">
        <v>66227.899999999994</v>
      </c>
      <c r="J273" s="16" t="s">
        <v>1026</v>
      </c>
      <c r="K273" s="15">
        <f>I273/1/50*1.66</f>
        <v>2198.7662799999998</v>
      </c>
      <c r="L273" s="92" t="s">
        <v>23</v>
      </c>
      <c r="M273" s="48" t="s">
        <v>1027</v>
      </c>
      <c r="N273" s="91" t="s">
        <v>784</v>
      </c>
    </row>
    <row r="274" spans="1:14" ht="45">
      <c r="A274" s="105" t="s">
        <v>1028</v>
      </c>
      <c r="B274" s="104" t="s">
        <v>1022</v>
      </c>
      <c r="C274" s="104" t="s">
        <v>1023</v>
      </c>
      <c r="D274" s="104" t="s">
        <v>1024</v>
      </c>
      <c r="E274" s="92" t="s">
        <v>60</v>
      </c>
      <c r="F274" s="92" t="s">
        <v>1029</v>
      </c>
      <c r="G274" s="92" t="s">
        <v>1030</v>
      </c>
      <c r="H274" s="101" t="s">
        <v>87</v>
      </c>
      <c r="I274" s="98">
        <v>81773.7</v>
      </c>
      <c r="J274" s="101" t="s">
        <v>1026</v>
      </c>
      <c r="K274" s="98">
        <f>I274/1/100*1.66</f>
        <v>1357.4434199999998</v>
      </c>
      <c r="L274" s="107" t="s">
        <v>23</v>
      </c>
      <c r="M274" s="91" t="s">
        <v>1031</v>
      </c>
      <c r="N274" s="91" t="s">
        <v>784</v>
      </c>
    </row>
    <row r="275" spans="1:14" ht="146.25">
      <c r="A275" s="90" t="s">
        <v>1032</v>
      </c>
      <c r="B275" s="91" t="s">
        <v>1033</v>
      </c>
      <c r="C275" s="91" t="s">
        <v>1034</v>
      </c>
      <c r="D275" s="91" t="s">
        <v>1035</v>
      </c>
      <c r="E275" s="92" t="s">
        <v>60</v>
      </c>
      <c r="F275" s="92" t="s">
        <v>1036</v>
      </c>
      <c r="G275" s="92" t="s">
        <v>1037</v>
      </c>
      <c r="H275" s="92" t="s">
        <v>1038</v>
      </c>
      <c r="I275" s="98">
        <v>161236.79999999999</v>
      </c>
      <c r="J275" s="93" t="s">
        <v>1039</v>
      </c>
      <c r="K275" s="93">
        <f>+(I275/1)/45*0.54</f>
        <v>1934.8416000000002</v>
      </c>
      <c r="L275" s="92" t="s">
        <v>23</v>
      </c>
      <c r="M275" s="91" t="s">
        <v>1040</v>
      </c>
      <c r="N275" s="91" t="s">
        <v>784</v>
      </c>
    </row>
    <row r="276" spans="1:14" ht="225">
      <c r="A276" s="90" t="s">
        <v>1041</v>
      </c>
      <c r="B276" s="91" t="s">
        <v>1033</v>
      </c>
      <c r="C276" s="91" t="s">
        <v>1034</v>
      </c>
      <c r="D276" s="91" t="s">
        <v>1035</v>
      </c>
      <c r="E276" s="92" t="s">
        <v>60</v>
      </c>
      <c r="F276" s="92" t="s">
        <v>1042</v>
      </c>
      <c r="G276" s="92" t="s">
        <v>1037</v>
      </c>
      <c r="H276" s="92" t="s">
        <v>1038</v>
      </c>
      <c r="I276" s="98">
        <v>161236.79999999999</v>
      </c>
      <c r="J276" s="93" t="s">
        <v>1039</v>
      </c>
      <c r="K276" s="93">
        <f>+(I276/1)/90*0.54</f>
        <v>967.4208000000001</v>
      </c>
      <c r="L276" s="92" t="s">
        <v>23</v>
      </c>
      <c r="M276" s="91" t="s">
        <v>1043</v>
      </c>
      <c r="N276" s="91" t="s">
        <v>784</v>
      </c>
    </row>
    <row r="277" spans="1:14" ht="101.25">
      <c r="A277" s="90" t="s">
        <v>1044</v>
      </c>
      <c r="B277" s="85" t="s">
        <v>1033</v>
      </c>
      <c r="C277" s="120" t="s">
        <v>1034</v>
      </c>
      <c r="D277" s="91" t="s">
        <v>1035</v>
      </c>
      <c r="E277" s="92" t="s">
        <v>252</v>
      </c>
      <c r="F277" s="92" t="s">
        <v>1045</v>
      </c>
      <c r="G277" s="92" t="s">
        <v>1046</v>
      </c>
      <c r="H277" s="92" t="s">
        <v>1038</v>
      </c>
      <c r="I277" s="93">
        <v>114825.2</v>
      </c>
      <c r="J277" s="18" t="s">
        <v>1204</v>
      </c>
      <c r="K277" s="11">
        <f>+I277/130*0.54</f>
        <v>476.96621538461545</v>
      </c>
      <c r="L277" s="101" t="s">
        <v>23</v>
      </c>
      <c r="M277" s="96" t="s">
        <v>1047</v>
      </c>
      <c r="N277" s="91" t="s">
        <v>1048</v>
      </c>
    </row>
    <row r="278" spans="1:14" ht="146.25">
      <c r="A278" s="90" t="s">
        <v>1338</v>
      </c>
      <c r="B278" s="85" t="s">
        <v>1033</v>
      </c>
      <c r="C278" s="120" t="s">
        <v>1034</v>
      </c>
      <c r="D278" s="91" t="s">
        <v>1339</v>
      </c>
      <c r="E278" s="92" t="s">
        <v>60</v>
      </c>
      <c r="F278" s="92" t="s">
        <v>1340</v>
      </c>
      <c r="G278" s="92" t="s">
        <v>1341</v>
      </c>
      <c r="H278" s="92" t="s">
        <v>1182</v>
      </c>
      <c r="I278" s="93">
        <v>115382.1</v>
      </c>
      <c r="J278" s="18" t="s">
        <v>1342</v>
      </c>
      <c r="K278" s="11">
        <f>(I278/45)*0.54</f>
        <v>1384.5852</v>
      </c>
      <c r="L278" s="61" t="s">
        <v>23</v>
      </c>
      <c r="M278" s="96" t="s">
        <v>1040</v>
      </c>
      <c r="N278" s="91" t="s">
        <v>784</v>
      </c>
    </row>
    <row r="279" spans="1:14" ht="146.25">
      <c r="A279" s="90" t="s">
        <v>1343</v>
      </c>
      <c r="B279" s="85" t="s">
        <v>1033</v>
      </c>
      <c r="C279" s="120" t="s">
        <v>1034</v>
      </c>
      <c r="D279" s="91" t="s">
        <v>1339</v>
      </c>
      <c r="E279" s="92" t="s">
        <v>60</v>
      </c>
      <c r="F279" s="92" t="s">
        <v>1344</v>
      </c>
      <c r="G279" s="92" t="s">
        <v>1341</v>
      </c>
      <c r="H279" s="92" t="s">
        <v>1182</v>
      </c>
      <c r="I279" s="93">
        <v>115382.1</v>
      </c>
      <c r="J279" s="18" t="s">
        <v>1342</v>
      </c>
      <c r="K279" s="11">
        <f>(I279/90)*0.54</f>
        <v>692.29259999999999</v>
      </c>
      <c r="L279" s="61" t="s">
        <v>23</v>
      </c>
      <c r="M279" s="96" t="s">
        <v>1040</v>
      </c>
      <c r="N279" s="91" t="s">
        <v>784</v>
      </c>
    </row>
    <row r="280" spans="1:14" ht="146.25">
      <c r="A280" s="90" t="s">
        <v>1049</v>
      </c>
      <c r="B280" s="91" t="s">
        <v>1050</v>
      </c>
      <c r="C280" s="91" t="s">
        <v>1051</v>
      </c>
      <c r="D280" s="91" t="s">
        <v>1052</v>
      </c>
      <c r="E280" s="92" t="s">
        <v>252</v>
      </c>
      <c r="F280" s="92" t="s">
        <v>1053</v>
      </c>
      <c r="G280" s="92" t="s">
        <v>1054</v>
      </c>
      <c r="H280" s="92" t="s">
        <v>72</v>
      </c>
      <c r="I280" s="98">
        <v>8791.1</v>
      </c>
      <c r="J280" s="93" t="s">
        <v>1055</v>
      </c>
      <c r="K280" s="93">
        <f>I280/1/80*20</f>
        <v>2197.7750000000001</v>
      </c>
      <c r="L280" s="107" t="s">
        <v>23</v>
      </c>
      <c r="M280" s="91" t="s">
        <v>1056</v>
      </c>
      <c r="N280" s="91" t="s">
        <v>1057</v>
      </c>
    </row>
    <row r="281" spans="1:14" ht="146.25">
      <c r="A281" s="90" t="s">
        <v>1058</v>
      </c>
      <c r="B281" s="91" t="s">
        <v>1050</v>
      </c>
      <c r="C281" s="91" t="s">
        <v>1051</v>
      </c>
      <c r="D281" s="91" t="s">
        <v>1052</v>
      </c>
      <c r="E281" s="92" t="s">
        <v>252</v>
      </c>
      <c r="F281" s="92" t="s">
        <v>1059</v>
      </c>
      <c r="G281" s="92" t="s">
        <v>1054</v>
      </c>
      <c r="H281" s="92" t="s">
        <v>72</v>
      </c>
      <c r="I281" s="98">
        <v>21889.3</v>
      </c>
      <c r="J281" s="93" t="s">
        <v>1055</v>
      </c>
      <c r="K281" s="93">
        <f>I281/1/200*20</f>
        <v>2188.9299999999998</v>
      </c>
      <c r="L281" s="107" t="s">
        <v>23</v>
      </c>
      <c r="M281" s="91" t="s">
        <v>1056</v>
      </c>
      <c r="N281" s="91" t="s">
        <v>1057</v>
      </c>
    </row>
    <row r="282" spans="1:14" ht="146.25">
      <c r="A282" s="90" t="s">
        <v>1060</v>
      </c>
      <c r="B282" s="91" t="s">
        <v>1050</v>
      </c>
      <c r="C282" s="91" t="s">
        <v>1051</v>
      </c>
      <c r="D282" s="91" t="s">
        <v>1052</v>
      </c>
      <c r="E282" s="92" t="s">
        <v>252</v>
      </c>
      <c r="F282" s="92" t="s">
        <v>1061</v>
      </c>
      <c r="G282" s="92" t="s">
        <v>1054</v>
      </c>
      <c r="H282" s="92" t="s">
        <v>72</v>
      </c>
      <c r="I282" s="98">
        <v>43718.8</v>
      </c>
      <c r="J282" s="93" t="s">
        <v>1055</v>
      </c>
      <c r="K282" s="93">
        <f>I282/1/400*20</f>
        <v>2185.94</v>
      </c>
      <c r="L282" s="107" t="s">
        <v>23</v>
      </c>
      <c r="M282" s="91" t="s">
        <v>1056</v>
      </c>
      <c r="N282" s="91" t="s">
        <v>1057</v>
      </c>
    </row>
    <row r="283" spans="1:14" ht="112.5">
      <c r="A283" s="91" t="s">
        <v>1062</v>
      </c>
      <c r="B283" s="91" t="s">
        <v>1050</v>
      </c>
      <c r="C283" s="91" t="s">
        <v>1051</v>
      </c>
      <c r="D283" s="91" t="s">
        <v>1052</v>
      </c>
      <c r="E283" s="92" t="s">
        <v>60</v>
      </c>
      <c r="F283" s="92" t="s">
        <v>1063</v>
      </c>
      <c r="G283" s="92" t="s">
        <v>264</v>
      </c>
      <c r="H283" s="92" t="s">
        <v>265</v>
      </c>
      <c r="I283" s="15">
        <v>69985.399999999994</v>
      </c>
      <c r="J283" s="16" t="s">
        <v>1055</v>
      </c>
      <c r="K283" s="15">
        <f>I283/4/162*20</f>
        <v>2160.0432098765432</v>
      </c>
      <c r="L283" s="103" t="s">
        <v>23</v>
      </c>
      <c r="M283" s="48" t="s">
        <v>1064</v>
      </c>
      <c r="N283" s="91" t="s">
        <v>117</v>
      </c>
    </row>
    <row r="284" spans="1:14" ht="270">
      <c r="A284" s="91" t="s">
        <v>1065</v>
      </c>
      <c r="B284" s="91" t="s">
        <v>1066</v>
      </c>
      <c r="C284" s="91" t="s">
        <v>1067</v>
      </c>
      <c r="D284" s="91" t="s">
        <v>1068</v>
      </c>
      <c r="E284" s="92" t="s">
        <v>60</v>
      </c>
      <c r="F284" s="92" t="s">
        <v>1069</v>
      </c>
      <c r="G284" s="92" t="s">
        <v>1070</v>
      </c>
      <c r="H284" s="92" t="s">
        <v>1071</v>
      </c>
      <c r="I284" s="98">
        <v>99531.6</v>
      </c>
      <c r="J284" s="93" t="s">
        <v>833</v>
      </c>
      <c r="K284" s="93">
        <f>I284/2/150*10</f>
        <v>3317.72</v>
      </c>
      <c r="L284" s="103" t="s">
        <v>23</v>
      </c>
      <c r="M284" s="91" t="s">
        <v>1072</v>
      </c>
      <c r="N284" s="91" t="s">
        <v>117</v>
      </c>
    </row>
    <row r="285" spans="1:14" ht="270">
      <c r="A285" s="90" t="s">
        <v>1073</v>
      </c>
      <c r="B285" s="91" t="s">
        <v>1066</v>
      </c>
      <c r="C285" s="91" t="s">
        <v>1067</v>
      </c>
      <c r="D285" s="91" t="s">
        <v>1068</v>
      </c>
      <c r="E285" s="92" t="s">
        <v>874</v>
      </c>
      <c r="F285" s="92" t="s">
        <v>1074</v>
      </c>
      <c r="G285" s="92" t="s">
        <v>1075</v>
      </c>
      <c r="H285" s="92" t="s">
        <v>1071</v>
      </c>
      <c r="I285" s="99">
        <v>99531.6</v>
      </c>
      <c r="J285" s="93" t="s">
        <v>833</v>
      </c>
      <c r="K285" s="93">
        <f>I285/2/150*10</f>
        <v>3317.72</v>
      </c>
      <c r="L285" s="103" t="s">
        <v>23</v>
      </c>
      <c r="M285" s="91" t="s">
        <v>1072</v>
      </c>
      <c r="N285" s="91" t="s">
        <v>117</v>
      </c>
    </row>
    <row r="286" spans="1:14" ht="213.75">
      <c r="A286" s="105" t="s">
        <v>1076</v>
      </c>
      <c r="B286" s="104" t="s">
        <v>1077</v>
      </c>
      <c r="C286" s="104" t="s">
        <v>1078</v>
      </c>
      <c r="D286" s="8" t="s">
        <v>1079</v>
      </c>
      <c r="E286" s="58" t="s">
        <v>874</v>
      </c>
      <c r="F286" s="59" t="s">
        <v>1080</v>
      </c>
      <c r="G286" s="58" t="s">
        <v>1081</v>
      </c>
      <c r="H286" s="58" t="s">
        <v>1082</v>
      </c>
      <c r="I286" s="98">
        <v>67741.8</v>
      </c>
      <c r="J286" s="98" t="s">
        <v>1010</v>
      </c>
      <c r="K286" s="98">
        <f>+(I286/1)/80*2.9</f>
        <v>2455.6402499999999</v>
      </c>
      <c r="L286" s="101" t="s">
        <v>23</v>
      </c>
      <c r="M286" s="91" t="s">
        <v>1083</v>
      </c>
      <c r="N286" s="91" t="s">
        <v>117</v>
      </c>
    </row>
    <row r="287" spans="1:14" ht="123.75">
      <c r="A287" s="105" t="s">
        <v>1084</v>
      </c>
      <c r="B287" s="104" t="s">
        <v>1085</v>
      </c>
      <c r="C287" s="104" t="s">
        <v>1086</v>
      </c>
      <c r="D287" s="8" t="s">
        <v>1087</v>
      </c>
      <c r="E287" s="58" t="s">
        <v>60</v>
      </c>
      <c r="F287" s="59" t="s">
        <v>1088</v>
      </c>
      <c r="G287" s="92" t="s">
        <v>1089</v>
      </c>
      <c r="H287" s="92" t="s">
        <v>1090</v>
      </c>
      <c r="I287" s="98">
        <v>188852.1</v>
      </c>
      <c r="J287" s="98" t="s">
        <v>1091</v>
      </c>
      <c r="K287" s="98">
        <f>I287/1/100*1.79</f>
        <v>3380.4525899999999</v>
      </c>
      <c r="L287" s="101" t="s">
        <v>23</v>
      </c>
      <c r="M287" s="91" t="s">
        <v>1092</v>
      </c>
      <c r="N287" s="91" t="s">
        <v>117</v>
      </c>
    </row>
    <row r="288" spans="1:14" ht="78.75">
      <c r="A288" s="105" t="s">
        <v>1093</v>
      </c>
      <c r="B288" s="104" t="s">
        <v>1094</v>
      </c>
      <c r="C288" s="104" t="s">
        <v>1095</v>
      </c>
      <c r="D288" s="8" t="s">
        <v>1096</v>
      </c>
      <c r="E288" s="58" t="s">
        <v>60</v>
      </c>
      <c r="F288" s="59" t="s">
        <v>1097</v>
      </c>
      <c r="G288" s="101" t="s">
        <v>1098</v>
      </c>
      <c r="H288" s="101" t="s">
        <v>194</v>
      </c>
      <c r="I288" s="98">
        <v>297104.7</v>
      </c>
      <c r="J288" s="98" t="s">
        <v>1099</v>
      </c>
      <c r="K288" s="98">
        <f>+(I288/2)/75*1.67</f>
        <v>3307.76566</v>
      </c>
      <c r="L288" s="101" t="s">
        <v>23</v>
      </c>
      <c r="M288" s="91" t="s">
        <v>1100</v>
      </c>
      <c r="N288" s="91" t="s">
        <v>117</v>
      </c>
    </row>
    <row r="289" spans="1:14" ht="67.5">
      <c r="A289" s="104">
        <v>1014211</v>
      </c>
      <c r="B289" s="104" t="s">
        <v>1331</v>
      </c>
      <c r="C289" s="91" t="s">
        <v>929</v>
      </c>
      <c r="D289" s="104" t="s">
        <v>930</v>
      </c>
      <c r="E289" s="92" t="s">
        <v>33</v>
      </c>
      <c r="F289" s="92" t="s">
        <v>931</v>
      </c>
      <c r="G289" s="92" t="s">
        <v>1332</v>
      </c>
      <c r="H289" s="92" t="s">
        <v>1333</v>
      </c>
      <c r="I289" s="93">
        <v>68229.100000000006</v>
      </c>
      <c r="J289" s="93" t="s">
        <v>813</v>
      </c>
      <c r="K289" s="93">
        <f>I289/83*20</f>
        <v>16440.74698795181</v>
      </c>
      <c r="L289" s="29" t="s">
        <v>23</v>
      </c>
      <c r="M289" s="91" t="s">
        <v>814</v>
      </c>
      <c r="N289" s="91" t="s">
        <v>784</v>
      </c>
    </row>
    <row r="290" spans="1:14" ht="45">
      <c r="A290" s="104">
        <v>1014210</v>
      </c>
      <c r="B290" s="104" t="s">
        <v>1331</v>
      </c>
      <c r="C290" s="91" t="s">
        <v>929</v>
      </c>
      <c r="D290" s="104" t="s">
        <v>930</v>
      </c>
      <c r="E290" s="92" t="s">
        <v>33</v>
      </c>
      <c r="F290" s="92" t="s">
        <v>932</v>
      </c>
      <c r="G290" s="92" t="s">
        <v>1334</v>
      </c>
      <c r="H290" s="92" t="s">
        <v>1335</v>
      </c>
      <c r="I290" s="93">
        <v>127262.7</v>
      </c>
      <c r="J290" s="93" t="s">
        <v>813</v>
      </c>
      <c r="K290" s="93">
        <f>+(I290/28)/20*20</f>
        <v>4545.0964285714281</v>
      </c>
      <c r="L290" s="29" t="s">
        <v>23</v>
      </c>
      <c r="M290" s="91" t="s">
        <v>814</v>
      </c>
      <c r="N290" s="91" t="s">
        <v>784</v>
      </c>
    </row>
    <row r="291" spans="1:14" ht="292.5">
      <c r="A291" s="82" t="s">
        <v>853</v>
      </c>
      <c r="B291" s="83" t="s">
        <v>1265</v>
      </c>
      <c r="C291" s="7" t="s">
        <v>854</v>
      </c>
      <c r="D291" s="7" t="s">
        <v>855</v>
      </c>
      <c r="E291" s="118" t="s">
        <v>33</v>
      </c>
      <c r="F291" s="118" t="s">
        <v>856</v>
      </c>
      <c r="G291" s="118" t="s">
        <v>1259</v>
      </c>
      <c r="H291" s="118" t="s">
        <v>72</v>
      </c>
      <c r="I291" s="93">
        <v>65605.7</v>
      </c>
      <c r="J291" s="93" t="s">
        <v>833</v>
      </c>
      <c r="K291" s="93">
        <f>+I291/56/5*10</f>
        <v>2343.0607142857143</v>
      </c>
      <c r="L291" s="95" t="s">
        <v>23</v>
      </c>
      <c r="M291" s="140" t="s">
        <v>1350</v>
      </c>
      <c r="N291" s="49" t="s">
        <v>117</v>
      </c>
    </row>
    <row r="292" spans="1:14" ht="146.25">
      <c r="A292" s="91" t="s">
        <v>1101</v>
      </c>
      <c r="B292" s="91" t="s">
        <v>1102</v>
      </c>
      <c r="C292" s="91" t="s">
        <v>1103</v>
      </c>
      <c r="D292" s="91" t="s">
        <v>1104</v>
      </c>
      <c r="E292" s="92" t="s">
        <v>235</v>
      </c>
      <c r="F292" s="92" t="s">
        <v>1105</v>
      </c>
      <c r="G292" s="92" t="s">
        <v>1106</v>
      </c>
      <c r="H292" s="92" t="s">
        <v>1107</v>
      </c>
      <c r="I292" s="93">
        <v>319088.7</v>
      </c>
      <c r="J292" s="93" t="s">
        <v>1108</v>
      </c>
      <c r="K292" s="93">
        <f>I292/10/21*10</f>
        <v>15194.7</v>
      </c>
      <c r="L292" s="103" t="s">
        <v>23</v>
      </c>
      <c r="M292" s="91" t="s">
        <v>1109</v>
      </c>
      <c r="N292" s="91" t="s">
        <v>1110</v>
      </c>
    </row>
    <row r="293" spans="1:14" ht="146.25">
      <c r="A293" s="91">
        <v>1014024</v>
      </c>
      <c r="B293" s="91" t="s">
        <v>1102</v>
      </c>
      <c r="C293" s="91" t="s">
        <v>1103</v>
      </c>
      <c r="D293" s="91" t="s">
        <v>1104</v>
      </c>
      <c r="E293" s="92" t="s">
        <v>235</v>
      </c>
      <c r="F293" s="92" t="s">
        <v>1111</v>
      </c>
      <c r="G293" s="92" t="s">
        <v>1106</v>
      </c>
      <c r="H293" s="92" t="s">
        <v>1107</v>
      </c>
      <c r="I293" s="93">
        <v>394105.3</v>
      </c>
      <c r="J293" s="93" t="s">
        <v>1108</v>
      </c>
      <c r="K293" s="93">
        <f>I293/21/25*10</f>
        <v>7506.7676190476195</v>
      </c>
      <c r="L293" s="103" t="s">
        <v>23</v>
      </c>
      <c r="M293" s="91" t="s">
        <v>1109</v>
      </c>
      <c r="N293" s="91" t="s">
        <v>1110</v>
      </c>
    </row>
    <row r="294" spans="1:14" ht="146.25">
      <c r="A294" s="90" t="s">
        <v>1112</v>
      </c>
      <c r="B294" s="91" t="s">
        <v>1102</v>
      </c>
      <c r="C294" s="91" t="s">
        <v>1103</v>
      </c>
      <c r="D294" s="91" t="s">
        <v>1113</v>
      </c>
      <c r="E294" s="92" t="s">
        <v>235</v>
      </c>
      <c r="F294" s="102" t="s">
        <v>1114</v>
      </c>
      <c r="G294" s="114" t="s">
        <v>1231</v>
      </c>
      <c r="H294" s="114" t="s">
        <v>1232</v>
      </c>
      <c r="I294" s="98">
        <v>24500</v>
      </c>
      <c r="J294" s="97" t="s">
        <v>833</v>
      </c>
      <c r="K294" s="98">
        <f>I294/7/5*10</f>
        <v>7000</v>
      </c>
      <c r="L294" s="101" t="s">
        <v>23</v>
      </c>
      <c r="M294" s="91" t="s">
        <v>1109</v>
      </c>
      <c r="N294" s="91" t="s">
        <v>1110</v>
      </c>
    </row>
    <row r="295" spans="1:14" ht="146.25">
      <c r="A295" s="90" t="s">
        <v>1115</v>
      </c>
      <c r="B295" s="91" t="s">
        <v>1102</v>
      </c>
      <c r="C295" s="91" t="s">
        <v>1103</v>
      </c>
      <c r="D295" s="91" t="s">
        <v>1113</v>
      </c>
      <c r="E295" s="92" t="s">
        <v>235</v>
      </c>
      <c r="F295" s="102" t="s">
        <v>1105</v>
      </c>
      <c r="G295" s="114" t="s">
        <v>1231</v>
      </c>
      <c r="H295" s="114" t="s">
        <v>1232</v>
      </c>
      <c r="I295" s="93">
        <v>75500</v>
      </c>
      <c r="J295" s="97" t="s">
        <v>833</v>
      </c>
      <c r="K295" s="98">
        <f>I295/21/10*10</f>
        <v>3595.2380952380954</v>
      </c>
      <c r="L295" s="101" t="s">
        <v>23</v>
      </c>
      <c r="M295" s="91" t="s">
        <v>1109</v>
      </c>
      <c r="N295" s="91" t="s">
        <v>1110</v>
      </c>
    </row>
    <row r="296" spans="1:14" ht="146.25">
      <c r="A296" s="90" t="s">
        <v>1116</v>
      </c>
      <c r="B296" s="91" t="s">
        <v>1102</v>
      </c>
      <c r="C296" s="91" t="s">
        <v>1103</v>
      </c>
      <c r="D296" s="91" t="s">
        <v>1113</v>
      </c>
      <c r="E296" s="92" t="s">
        <v>235</v>
      </c>
      <c r="F296" s="102" t="s">
        <v>1117</v>
      </c>
      <c r="G296" s="114" t="s">
        <v>1231</v>
      </c>
      <c r="H296" s="114" t="s">
        <v>1232</v>
      </c>
      <c r="I296" s="93">
        <v>78800</v>
      </c>
      <c r="J296" s="97" t="s">
        <v>833</v>
      </c>
      <c r="K296" s="98">
        <f>I296/21/15*10</f>
        <v>2501.5873015873017</v>
      </c>
      <c r="L296" s="101" t="s">
        <v>23</v>
      </c>
      <c r="M296" s="91" t="s">
        <v>1109</v>
      </c>
      <c r="N296" s="91" t="s">
        <v>1110</v>
      </c>
    </row>
    <row r="297" spans="1:14" ht="146.25">
      <c r="A297" s="90" t="s">
        <v>1118</v>
      </c>
      <c r="B297" s="91" t="s">
        <v>1102</v>
      </c>
      <c r="C297" s="91" t="s">
        <v>1103</v>
      </c>
      <c r="D297" s="91" t="s">
        <v>1113</v>
      </c>
      <c r="E297" s="92" t="s">
        <v>235</v>
      </c>
      <c r="F297" s="102" t="s">
        <v>1111</v>
      </c>
      <c r="G297" s="114" t="s">
        <v>1231</v>
      </c>
      <c r="H297" s="114" t="s">
        <v>1232</v>
      </c>
      <c r="I297" s="93">
        <v>92300</v>
      </c>
      <c r="J297" s="97" t="s">
        <v>833</v>
      </c>
      <c r="K297" s="98">
        <f>I297/21/25*10</f>
        <v>1758.0952380952383</v>
      </c>
      <c r="L297" s="101" t="s">
        <v>23</v>
      </c>
      <c r="M297" s="91" t="s">
        <v>1109</v>
      </c>
      <c r="N297" s="91" t="s">
        <v>1110</v>
      </c>
    </row>
    <row r="298" spans="1:14" ht="146.25">
      <c r="A298" s="105" t="s">
        <v>1119</v>
      </c>
      <c r="B298" s="105" t="s">
        <v>1102</v>
      </c>
      <c r="C298" s="96" t="s">
        <v>1103</v>
      </c>
      <c r="D298" s="96" t="s">
        <v>1120</v>
      </c>
      <c r="E298" s="102" t="s">
        <v>235</v>
      </c>
      <c r="F298" s="102" t="s">
        <v>1121</v>
      </c>
      <c r="G298" s="92" t="s">
        <v>1122</v>
      </c>
      <c r="H298" s="92" t="s">
        <v>1123</v>
      </c>
      <c r="I298" s="60">
        <v>73500</v>
      </c>
      <c r="J298" s="97" t="s">
        <v>833</v>
      </c>
      <c r="K298" s="103">
        <f>+(I298/21)/5*10</f>
        <v>7000</v>
      </c>
      <c r="L298" s="101" t="s">
        <v>23</v>
      </c>
      <c r="M298" s="91" t="s">
        <v>1109</v>
      </c>
      <c r="N298" s="91" t="s">
        <v>1110</v>
      </c>
    </row>
    <row r="299" spans="1:14" ht="146.25">
      <c r="A299" s="105" t="s">
        <v>1124</v>
      </c>
      <c r="B299" s="105" t="s">
        <v>1102</v>
      </c>
      <c r="C299" s="96" t="s">
        <v>1103</v>
      </c>
      <c r="D299" s="96" t="s">
        <v>1120</v>
      </c>
      <c r="E299" s="102" t="s">
        <v>235</v>
      </c>
      <c r="F299" s="102" t="s">
        <v>1105</v>
      </c>
      <c r="G299" s="92" t="s">
        <v>1122</v>
      </c>
      <c r="H299" s="92" t="s">
        <v>1123</v>
      </c>
      <c r="I299" s="93">
        <v>75500</v>
      </c>
      <c r="J299" s="97" t="s">
        <v>833</v>
      </c>
      <c r="K299" s="103">
        <f>+(I299/21)/10*10</f>
        <v>3595.2380952380954</v>
      </c>
      <c r="L299" s="101" t="s">
        <v>23</v>
      </c>
      <c r="M299" s="91" t="s">
        <v>1109</v>
      </c>
      <c r="N299" s="91" t="s">
        <v>1110</v>
      </c>
    </row>
    <row r="300" spans="1:14" ht="146.25">
      <c r="A300" s="105" t="s">
        <v>1125</v>
      </c>
      <c r="B300" s="105" t="s">
        <v>1102</v>
      </c>
      <c r="C300" s="96" t="s">
        <v>1103</v>
      </c>
      <c r="D300" s="96" t="s">
        <v>1120</v>
      </c>
      <c r="E300" s="102" t="s">
        <v>235</v>
      </c>
      <c r="F300" s="102" t="s">
        <v>1117</v>
      </c>
      <c r="G300" s="92" t="s">
        <v>1122</v>
      </c>
      <c r="H300" s="92" t="s">
        <v>1123</v>
      </c>
      <c r="I300" s="93">
        <v>78800</v>
      </c>
      <c r="J300" s="97" t="s">
        <v>833</v>
      </c>
      <c r="K300" s="103">
        <f>+(I300/21)/15*10</f>
        <v>2501.5873015873017</v>
      </c>
      <c r="L300" s="101" t="s">
        <v>23</v>
      </c>
      <c r="M300" s="91" t="s">
        <v>1109</v>
      </c>
      <c r="N300" s="91" t="s">
        <v>1110</v>
      </c>
    </row>
    <row r="301" spans="1:14" ht="146.25">
      <c r="A301" s="105" t="s">
        <v>1126</v>
      </c>
      <c r="B301" s="105" t="s">
        <v>1102</v>
      </c>
      <c r="C301" s="96" t="s">
        <v>1103</v>
      </c>
      <c r="D301" s="96" t="s">
        <v>1120</v>
      </c>
      <c r="E301" s="102" t="s">
        <v>235</v>
      </c>
      <c r="F301" s="102" t="s">
        <v>1111</v>
      </c>
      <c r="G301" s="92" t="s">
        <v>1122</v>
      </c>
      <c r="H301" s="92" t="s">
        <v>1123</v>
      </c>
      <c r="I301" s="93">
        <v>92300</v>
      </c>
      <c r="J301" s="97" t="s">
        <v>833</v>
      </c>
      <c r="K301" s="103">
        <f>+(I301/21)/25*10</f>
        <v>1758.0952380952383</v>
      </c>
      <c r="L301" s="101" t="s">
        <v>23</v>
      </c>
      <c r="M301" s="91" t="s">
        <v>1109</v>
      </c>
      <c r="N301" s="91" t="s">
        <v>1110</v>
      </c>
    </row>
    <row r="302" spans="1:14" ht="146.25">
      <c r="A302" s="91">
        <v>1014061</v>
      </c>
      <c r="B302" s="91" t="s">
        <v>1102</v>
      </c>
      <c r="C302" s="91" t="s">
        <v>1103</v>
      </c>
      <c r="D302" s="91" t="s">
        <v>1127</v>
      </c>
      <c r="E302" s="92" t="s">
        <v>235</v>
      </c>
      <c r="F302" s="92" t="s">
        <v>1105</v>
      </c>
      <c r="G302" s="92" t="s">
        <v>1128</v>
      </c>
      <c r="H302" s="92" t="s">
        <v>1129</v>
      </c>
      <c r="I302" s="93">
        <v>62568.7</v>
      </c>
      <c r="J302" s="97" t="s">
        <v>833</v>
      </c>
      <c r="K302" s="103">
        <f>+(I302/21)/10*10</f>
        <v>2979.4619047619044</v>
      </c>
      <c r="L302" s="101" t="s">
        <v>23</v>
      </c>
      <c r="M302" s="91" t="s">
        <v>1109</v>
      </c>
      <c r="N302" s="91" t="s">
        <v>1110</v>
      </c>
    </row>
    <row r="303" spans="1:14" ht="146.25">
      <c r="A303" s="91">
        <v>1014060</v>
      </c>
      <c r="B303" s="91" t="s">
        <v>1102</v>
      </c>
      <c r="C303" s="91" t="s">
        <v>1103</v>
      </c>
      <c r="D303" s="91" t="s">
        <v>1127</v>
      </c>
      <c r="E303" s="92" t="s">
        <v>235</v>
      </c>
      <c r="F303" s="92" t="s">
        <v>1111</v>
      </c>
      <c r="G303" s="92" t="s">
        <v>1128</v>
      </c>
      <c r="H303" s="92" t="s">
        <v>1129</v>
      </c>
      <c r="I303" s="93">
        <v>71015.3</v>
      </c>
      <c r="J303" s="97" t="s">
        <v>833</v>
      </c>
      <c r="K303" s="103">
        <f>+(I303/21)/25*10</f>
        <v>1352.672380952381</v>
      </c>
      <c r="L303" s="61" t="s">
        <v>23</v>
      </c>
      <c r="M303" s="91" t="s">
        <v>1109</v>
      </c>
      <c r="N303" s="91" t="s">
        <v>1110</v>
      </c>
    </row>
    <row r="304" spans="1:14" ht="146.25">
      <c r="A304" s="91">
        <v>1014062</v>
      </c>
      <c r="B304" s="91" t="s">
        <v>1102</v>
      </c>
      <c r="C304" s="91" t="s">
        <v>1103</v>
      </c>
      <c r="D304" s="91" t="s">
        <v>1130</v>
      </c>
      <c r="E304" s="92" t="s">
        <v>235</v>
      </c>
      <c r="F304" s="92" t="s">
        <v>1105</v>
      </c>
      <c r="G304" s="92" t="s">
        <v>1131</v>
      </c>
      <c r="H304" s="92" t="s">
        <v>1132</v>
      </c>
      <c r="I304" s="93">
        <v>75500</v>
      </c>
      <c r="J304" s="97" t="s">
        <v>833</v>
      </c>
      <c r="K304" s="103">
        <f>+(I304/21)/10*10</f>
        <v>3595.2380952380954</v>
      </c>
      <c r="L304" s="61" t="s">
        <v>23</v>
      </c>
      <c r="M304" s="91" t="s">
        <v>1109</v>
      </c>
      <c r="N304" s="91" t="s">
        <v>1110</v>
      </c>
    </row>
    <row r="305" spans="1:14" ht="146.25">
      <c r="A305" s="91">
        <v>1014063</v>
      </c>
      <c r="B305" s="91" t="s">
        <v>1102</v>
      </c>
      <c r="C305" s="91" t="s">
        <v>1103</v>
      </c>
      <c r="D305" s="91" t="s">
        <v>1130</v>
      </c>
      <c r="E305" s="92" t="s">
        <v>235</v>
      </c>
      <c r="F305" s="92" t="s">
        <v>1111</v>
      </c>
      <c r="G305" s="92" t="s">
        <v>1131</v>
      </c>
      <c r="H305" s="92" t="s">
        <v>1132</v>
      </c>
      <c r="I305" s="93">
        <v>92300</v>
      </c>
      <c r="J305" s="97" t="s">
        <v>833</v>
      </c>
      <c r="K305" s="103">
        <f>+(I305/21)/25*10</f>
        <v>1758.0952380952383</v>
      </c>
      <c r="L305" s="61" t="s">
        <v>23</v>
      </c>
      <c r="M305" s="91" t="s">
        <v>1109</v>
      </c>
      <c r="N305" s="91" t="s">
        <v>1110</v>
      </c>
    </row>
    <row r="306" spans="1:14" ht="146.25">
      <c r="A306" s="90" t="s">
        <v>1133</v>
      </c>
      <c r="B306" s="96" t="s">
        <v>1102</v>
      </c>
      <c r="C306" s="91" t="s">
        <v>1103</v>
      </c>
      <c r="D306" s="91" t="s">
        <v>1130</v>
      </c>
      <c r="E306" s="92" t="s">
        <v>235</v>
      </c>
      <c r="F306" s="92" t="s">
        <v>1121</v>
      </c>
      <c r="G306" s="92" t="s">
        <v>1131</v>
      </c>
      <c r="H306" s="92" t="s">
        <v>1132</v>
      </c>
      <c r="I306" s="93">
        <v>60090.6</v>
      </c>
      <c r="J306" s="93" t="s">
        <v>833</v>
      </c>
      <c r="K306" s="93">
        <f>(I306/21)/5*10</f>
        <v>5722.9142857142851</v>
      </c>
      <c r="L306" s="61" t="s">
        <v>23</v>
      </c>
      <c r="M306" s="91" t="s">
        <v>1109</v>
      </c>
      <c r="N306" s="91" t="s">
        <v>1110</v>
      </c>
    </row>
    <row r="307" spans="1:14" ht="146.25">
      <c r="A307" s="90" t="s">
        <v>1134</v>
      </c>
      <c r="B307" s="96" t="s">
        <v>1102</v>
      </c>
      <c r="C307" s="91" t="s">
        <v>1103</v>
      </c>
      <c r="D307" s="91" t="s">
        <v>1130</v>
      </c>
      <c r="E307" s="92" t="s">
        <v>235</v>
      </c>
      <c r="F307" s="92" t="s">
        <v>1117</v>
      </c>
      <c r="G307" s="92" t="s">
        <v>1131</v>
      </c>
      <c r="H307" s="92" t="s">
        <v>1132</v>
      </c>
      <c r="I307" s="93">
        <v>65616.3</v>
      </c>
      <c r="J307" s="93" t="s">
        <v>833</v>
      </c>
      <c r="K307" s="93">
        <f>(I307/21)/15*10</f>
        <v>2083.0571428571429</v>
      </c>
      <c r="L307" s="61" t="s">
        <v>23</v>
      </c>
      <c r="M307" s="91" t="s">
        <v>1109</v>
      </c>
      <c r="N307" s="91" t="s">
        <v>1110</v>
      </c>
    </row>
    <row r="308" spans="1:14" ht="146.25">
      <c r="A308" s="90" t="s">
        <v>1135</v>
      </c>
      <c r="B308" s="96" t="s">
        <v>1102</v>
      </c>
      <c r="C308" s="113" t="s">
        <v>1103</v>
      </c>
      <c r="D308" s="91" t="s">
        <v>1136</v>
      </c>
      <c r="E308" s="114" t="s">
        <v>235</v>
      </c>
      <c r="F308" s="114" t="s">
        <v>1121</v>
      </c>
      <c r="G308" s="114" t="s">
        <v>428</v>
      </c>
      <c r="H308" s="114" t="s">
        <v>429</v>
      </c>
      <c r="I308" s="93">
        <v>60090.6</v>
      </c>
      <c r="J308" s="93" t="s">
        <v>833</v>
      </c>
      <c r="K308" s="93">
        <f>(I308/21)/5*10</f>
        <v>5722.9142857142851</v>
      </c>
      <c r="L308" s="61" t="s">
        <v>23</v>
      </c>
      <c r="M308" s="91" t="s">
        <v>1109</v>
      </c>
      <c r="N308" s="91" t="s">
        <v>1110</v>
      </c>
    </row>
    <row r="309" spans="1:14" ht="146.25">
      <c r="A309" s="90" t="s">
        <v>1137</v>
      </c>
      <c r="B309" s="96" t="s">
        <v>1102</v>
      </c>
      <c r="C309" s="113" t="s">
        <v>1103</v>
      </c>
      <c r="D309" s="91" t="s">
        <v>1136</v>
      </c>
      <c r="E309" s="114" t="s">
        <v>235</v>
      </c>
      <c r="F309" s="114" t="s">
        <v>1105</v>
      </c>
      <c r="G309" s="114" t="s">
        <v>428</v>
      </c>
      <c r="H309" s="114" t="s">
        <v>429</v>
      </c>
      <c r="I309" s="93">
        <v>62568.7</v>
      </c>
      <c r="J309" s="93" t="s">
        <v>833</v>
      </c>
      <c r="K309" s="93">
        <f>(I309/21)/10*10</f>
        <v>2979.4619047619044</v>
      </c>
      <c r="L309" s="61" t="s">
        <v>23</v>
      </c>
      <c r="M309" s="91" t="s">
        <v>1109</v>
      </c>
      <c r="N309" s="91" t="s">
        <v>1110</v>
      </c>
    </row>
    <row r="310" spans="1:14" ht="146.25">
      <c r="A310" s="90" t="s">
        <v>1138</v>
      </c>
      <c r="B310" s="96" t="s">
        <v>1102</v>
      </c>
      <c r="C310" s="113" t="s">
        <v>1103</v>
      </c>
      <c r="D310" s="91" t="s">
        <v>1136</v>
      </c>
      <c r="E310" s="114" t="s">
        <v>235</v>
      </c>
      <c r="F310" s="114" t="s">
        <v>1117</v>
      </c>
      <c r="G310" s="114" t="s">
        <v>428</v>
      </c>
      <c r="H310" s="114" t="s">
        <v>429</v>
      </c>
      <c r="I310" s="93">
        <v>65616.3</v>
      </c>
      <c r="J310" s="93" t="s">
        <v>833</v>
      </c>
      <c r="K310" s="93">
        <f>(I310/21)/15*10</f>
        <v>2083.0571428571429</v>
      </c>
      <c r="L310" s="61" t="s">
        <v>23</v>
      </c>
      <c r="M310" s="91" t="s">
        <v>1109</v>
      </c>
      <c r="N310" s="91" t="s">
        <v>1110</v>
      </c>
    </row>
    <row r="311" spans="1:14" ht="146.25">
      <c r="A311" s="90" t="s">
        <v>1139</v>
      </c>
      <c r="B311" s="96" t="s">
        <v>1102</v>
      </c>
      <c r="C311" s="113" t="s">
        <v>1103</v>
      </c>
      <c r="D311" s="91" t="s">
        <v>1136</v>
      </c>
      <c r="E311" s="114" t="s">
        <v>235</v>
      </c>
      <c r="F311" s="114" t="s">
        <v>1111</v>
      </c>
      <c r="G311" s="114" t="s">
        <v>428</v>
      </c>
      <c r="H311" s="114" t="s">
        <v>429</v>
      </c>
      <c r="I311" s="93">
        <v>71015.3</v>
      </c>
      <c r="J311" s="93" t="s">
        <v>833</v>
      </c>
      <c r="K311" s="93">
        <f>(I311/21)/25*10</f>
        <v>1352.672380952381</v>
      </c>
      <c r="L311" s="61" t="s">
        <v>23</v>
      </c>
      <c r="M311" s="91" t="s">
        <v>1109</v>
      </c>
      <c r="N311" s="91" t="s">
        <v>1110</v>
      </c>
    </row>
    <row r="312" spans="1:14" ht="45">
      <c r="A312" s="90">
        <v>1079020</v>
      </c>
      <c r="B312" s="91" t="s">
        <v>1153</v>
      </c>
      <c r="C312" s="91" t="s">
        <v>1154</v>
      </c>
      <c r="D312" s="91" t="s">
        <v>1155</v>
      </c>
      <c r="E312" s="92" t="s">
        <v>1156</v>
      </c>
      <c r="F312" s="92" t="s">
        <v>1157</v>
      </c>
      <c r="G312" s="92" t="s">
        <v>791</v>
      </c>
      <c r="H312" s="92" t="s">
        <v>792</v>
      </c>
      <c r="I312" s="93">
        <v>10493.5</v>
      </c>
      <c r="J312" s="101" t="s">
        <v>1166</v>
      </c>
      <c r="K312" s="98">
        <f>(I312/14)/120*480</f>
        <v>2998.1428571428573</v>
      </c>
      <c r="L312" s="101" t="s">
        <v>23</v>
      </c>
      <c r="M312" s="91" t="s">
        <v>820</v>
      </c>
      <c r="N312" s="91" t="s">
        <v>784</v>
      </c>
    </row>
    <row r="313" spans="1:14" ht="45">
      <c r="A313" s="90">
        <v>1079021</v>
      </c>
      <c r="B313" s="91" t="s">
        <v>1153</v>
      </c>
      <c r="C313" s="91" t="s">
        <v>1154</v>
      </c>
      <c r="D313" s="91" t="s">
        <v>1155</v>
      </c>
      <c r="E313" s="92" t="s">
        <v>1156</v>
      </c>
      <c r="F313" s="92" t="s">
        <v>211</v>
      </c>
      <c r="G313" s="92" t="s">
        <v>791</v>
      </c>
      <c r="H313" s="92" t="s">
        <v>792</v>
      </c>
      <c r="I313" s="93">
        <v>76077</v>
      </c>
      <c r="J313" s="101" t="s">
        <v>1166</v>
      </c>
      <c r="K313" s="93">
        <f>(I313/56)/240*480</f>
        <v>2717.0357142857142</v>
      </c>
      <c r="L313" s="101" t="s">
        <v>23</v>
      </c>
      <c r="M313" s="91" t="s">
        <v>820</v>
      </c>
      <c r="N313" s="91" t="s">
        <v>784</v>
      </c>
    </row>
    <row r="314" spans="1:14" ht="45">
      <c r="A314" s="90" t="s">
        <v>1140</v>
      </c>
      <c r="B314" s="91" t="s">
        <v>1141</v>
      </c>
      <c r="C314" s="90" t="s">
        <v>1142</v>
      </c>
      <c r="D314" s="91" t="s">
        <v>1143</v>
      </c>
      <c r="E314" s="92" t="s">
        <v>252</v>
      </c>
      <c r="F314" s="92" t="s">
        <v>1248</v>
      </c>
      <c r="G314" s="92" t="s">
        <v>1249</v>
      </c>
      <c r="H314" s="92" t="s">
        <v>1250</v>
      </c>
      <c r="I314" s="98">
        <v>5191.7</v>
      </c>
      <c r="J314" s="93" t="s">
        <v>1144</v>
      </c>
      <c r="K314" s="93">
        <f>I314/1/4*4</f>
        <v>5191.7</v>
      </c>
      <c r="L314" s="107" t="s">
        <v>23</v>
      </c>
      <c r="M314" s="110" t="s">
        <v>1145</v>
      </c>
      <c r="N314" s="91" t="s">
        <v>1146</v>
      </c>
    </row>
    <row r="315" spans="1:14" ht="33.75">
      <c r="A315" s="90" t="s">
        <v>1147</v>
      </c>
      <c r="B315" s="91" t="s">
        <v>1148</v>
      </c>
      <c r="C315" s="91" t="s">
        <v>1149</v>
      </c>
      <c r="D315" s="91" t="s">
        <v>1150</v>
      </c>
      <c r="E315" s="92" t="s">
        <v>33</v>
      </c>
      <c r="F315" s="92" t="s">
        <v>1151</v>
      </c>
      <c r="G315" s="92" t="s">
        <v>861</v>
      </c>
      <c r="H315" s="92" t="s">
        <v>862</v>
      </c>
      <c r="I315" s="98">
        <v>8351.7000000000007</v>
      </c>
      <c r="J315" s="92" t="s">
        <v>1152</v>
      </c>
      <c r="K315" s="93">
        <f>I315/56/50*100</f>
        <v>298.27500000000003</v>
      </c>
      <c r="L315" s="107" t="s">
        <v>23</v>
      </c>
      <c r="M315" s="109" t="s">
        <v>1349</v>
      </c>
      <c r="N315" s="91" t="s">
        <v>1226</v>
      </c>
    </row>
    <row r="316" spans="1:14" ht="33.75">
      <c r="A316" s="90" t="s">
        <v>1345</v>
      </c>
      <c r="B316" s="91" t="s">
        <v>1148</v>
      </c>
      <c r="C316" s="91" t="s">
        <v>1149</v>
      </c>
      <c r="D316" s="91" t="s">
        <v>1346</v>
      </c>
      <c r="E316" s="92" t="s">
        <v>33</v>
      </c>
      <c r="F316" s="92" t="s">
        <v>1151</v>
      </c>
      <c r="G316" s="92" t="s">
        <v>1347</v>
      </c>
      <c r="H316" s="92" t="s">
        <v>1348</v>
      </c>
      <c r="I316" s="98">
        <v>5846.2</v>
      </c>
      <c r="J316" s="92" t="s">
        <v>1152</v>
      </c>
      <c r="K316" s="93">
        <f>(I316/56)/50*100</f>
        <v>208.79285714285714</v>
      </c>
      <c r="L316" s="107" t="s">
        <v>23</v>
      </c>
      <c r="M316" s="109" t="s">
        <v>1349</v>
      </c>
      <c r="N316" s="91" t="s">
        <v>1226</v>
      </c>
    </row>
    <row r="317" spans="1:14" ht="78.75">
      <c r="A317" s="90" t="s">
        <v>1158</v>
      </c>
      <c r="B317" s="91" t="s">
        <v>1159</v>
      </c>
      <c r="C317" s="91" t="s">
        <v>1160</v>
      </c>
      <c r="D317" s="91" t="s">
        <v>1161</v>
      </c>
      <c r="E317" s="92" t="s">
        <v>76</v>
      </c>
      <c r="F317" s="92" t="s">
        <v>1162</v>
      </c>
      <c r="G317" s="92" t="s">
        <v>1163</v>
      </c>
      <c r="H317" s="92" t="s">
        <v>643</v>
      </c>
      <c r="I317" s="93">
        <v>66989.600000000006</v>
      </c>
      <c r="J317" s="92" t="s">
        <v>23</v>
      </c>
      <c r="K317" s="93" t="s">
        <v>23</v>
      </c>
      <c r="L317" s="107" t="s">
        <v>23</v>
      </c>
      <c r="M317" s="109" t="s">
        <v>1164</v>
      </c>
      <c r="N317" s="91" t="s">
        <v>1165</v>
      </c>
    </row>
  </sheetData>
  <autoFilter ref="A1:WVG317" xr:uid="{C45FACA8-47AC-48D8-AEF9-CB445277903E}"/>
  <pageMargins left="0.7" right="0.7" top="0.75" bottom="0.75" header="0.3" footer="0.3"/>
  <pageSetup paperSize="9" scale="49" fitToHeight="0" orientation="landscape" verticalDpi="0" r:id="rId1"/>
  <headerFooter>
    <oddHeader>&amp;L&amp;"Arial,Bold"Lista C.&amp;"Arial,Regular" Lekovi sa posebnim režimom izdavanja</oddHeader>
    <oddFooter xml:space="preserve">&amp;R&amp;"Arial,Regular"Strana &amp;P </oddFooter>
  </headerFooter>
  <rowBreaks count="1" manualBreakCount="1">
    <brk id="30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2026-06-17T14:24:28Z</cp:lastPrinted>
  <dcterms:created xsi:type="dcterms:W3CDTF">2024-10-18T11:57:33Z</dcterms:created>
  <dcterms:modified xsi:type="dcterms:W3CDTF">2026-06-17T14:24:40Z</dcterms:modified>
</cp:coreProperties>
</file>