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Lista C " sheetId="1" r:id="rId1"/>
  </sheets>
  <definedNames>
    <definedName name="_xlnm._FilterDatabase" localSheetId="0" hidden="1">'Lista C '!$A$1:$Q$207</definedName>
    <definedName name="_ftn10" localSheetId="0">'Lista C '!#REF!</definedName>
    <definedName name="_ftn11" localSheetId="0">'Lista C '!#REF!</definedName>
    <definedName name="_ftn12" localSheetId="0">'Lista C '!#REF!</definedName>
    <definedName name="_ftn13" localSheetId="0">'Lista C '!#REF!</definedName>
    <definedName name="_ftn14" localSheetId="0">'Lista C '!#REF!</definedName>
    <definedName name="_ftn15" localSheetId="0">'Lista C '!#REF!</definedName>
    <definedName name="_ftn5" localSheetId="0">'Lista C '!#REF!</definedName>
    <definedName name="_ftn6" localSheetId="0">'Lista C '!#REF!</definedName>
    <definedName name="_ftn7" localSheetId="0">'Lista C '!#REF!</definedName>
    <definedName name="_ftn8" localSheetId="0">'Lista C '!#REF!</definedName>
    <definedName name="_ftn9" localSheetId="0">'Lista C '!#REF!</definedName>
    <definedName name="_ftnref10" localSheetId="0">'Lista C '!#REF!</definedName>
    <definedName name="_ftnref11" localSheetId="0">'Lista C '!#REF!</definedName>
    <definedName name="_ftnref12" localSheetId="0">'Lista C '!#REF!</definedName>
    <definedName name="_ftnref13" localSheetId="0">'Lista C '!#REF!</definedName>
    <definedName name="_ftnref14" localSheetId="0">'Lista C '!#REF!</definedName>
    <definedName name="_ftnref15" localSheetId="0">'Lista C '!#REF!</definedName>
    <definedName name="_ftnref5" localSheetId="0">'Lista C '!#REF!</definedName>
    <definedName name="_ftnref6" localSheetId="0">'Lista C '!#REF!</definedName>
    <definedName name="_ftnref7" localSheetId="0">'Lista C '!#REF!</definedName>
    <definedName name="_ftnref8" localSheetId="0">'Lista C '!#REF!</definedName>
    <definedName name="_ftnref9" localSheetId="0">'Lista C '!#REF!</definedName>
    <definedName name="_xlnm.Print_Area" localSheetId="0">'Lista C '!$A$1:$N$207</definedName>
    <definedName name="_xlnm.Print_Titles" localSheetId="0">'Lista C '!$1:$1</definedName>
  </definedNames>
  <calcPr fullCalcOnLoad="1"/>
</workbook>
</file>

<file path=xl/sharedStrings.xml><?xml version="1.0" encoding="utf-8"?>
<sst xmlns="http://schemas.openxmlformats.org/spreadsheetml/2006/main" count="2502" uniqueCount="987">
  <si>
    <t>JKL</t>
  </si>
  <si>
    <t xml:space="preserve">ATC </t>
  </si>
  <si>
    <t>INN</t>
  </si>
  <si>
    <t>Zaštićeno ime leka</t>
  </si>
  <si>
    <t>FO</t>
  </si>
  <si>
    <t>Pakovanje i jačina leka</t>
  </si>
  <si>
    <t>Naziv proizvođača leka</t>
  </si>
  <si>
    <t>Država proizvodnje leka</t>
  </si>
  <si>
    <t>DDD</t>
  </si>
  <si>
    <t>Cena leka na veliko po DDD</t>
  </si>
  <si>
    <t>Participacija osiguranog lica</t>
  </si>
  <si>
    <t>B03XA01</t>
  </si>
  <si>
    <t xml:space="preserve">epoetin alfa </t>
  </si>
  <si>
    <t xml:space="preserve">EPREX </t>
  </si>
  <si>
    <t>rastvor za injekciju, špric</t>
  </si>
  <si>
    <t>Švajcarska</t>
  </si>
  <si>
    <t>1000 i.j.</t>
  </si>
  <si>
    <t>-</t>
  </si>
  <si>
    <t>rastvor za injekciju u napunjenom injekcionom špricu</t>
  </si>
  <si>
    <t>Austrija</t>
  </si>
  <si>
    <t xml:space="preserve">epoetin beta </t>
  </si>
  <si>
    <t xml:space="preserve">RECORMON </t>
  </si>
  <si>
    <t>napunjeni injekcioni špric, 6 brizg. po 2000 i.j./0,3 ml</t>
  </si>
  <si>
    <t>Roche Diagnostics GmbH</t>
  </si>
  <si>
    <t>Nemačka</t>
  </si>
  <si>
    <t>epoetin zeta</t>
  </si>
  <si>
    <t>EQRALYS</t>
  </si>
  <si>
    <t>rastvor za injekciju</t>
  </si>
  <si>
    <t>Hemofarm a.d.</t>
  </si>
  <si>
    <t>Republika Srbija</t>
  </si>
  <si>
    <t>napunjen inj.špric 6 po 0,3 ml (1000 i.j./0,3 ml)</t>
  </si>
  <si>
    <t>napunjen inj.špric 6 po 0,6 ml (2000 i.j./0,6 ml)</t>
  </si>
  <si>
    <t>napunjen inj.špric 6 po 0,4 ml (4000 i.j./0,4 ml)</t>
  </si>
  <si>
    <t>napunjen inj.špric 1 po 1 ml (10000 i.j./ml)</t>
  </si>
  <si>
    <t>napunjen inj.špric 1 po 0,5 ml (20000 i.j./0,5 ml)</t>
  </si>
  <si>
    <t>napunjen inj.špric 1 po 0,75 ml (30000 i.j./0,75 ml)</t>
  </si>
  <si>
    <t>B03XA02</t>
  </si>
  <si>
    <t>darbepoetin alfa</t>
  </si>
  <si>
    <t>ARANESP</t>
  </si>
  <si>
    <t>Amgen Europe B.V.</t>
  </si>
  <si>
    <t>Holandija</t>
  </si>
  <si>
    <t>4,5 mcg</t>
  </si>
  <si>
    <t>PharmaSwiss d.o.o.</t>
  </si>
  <si>
    <t>B03XA03</t>
  </si>
  <si>
    <t>metoksipolietilenglikol - epoetin beta</t>
  </si>
  <si>
    <t>MIRCERA</t>
  </si>
  <si>
    <t>1 po 50 mcg/0,3 ml</t>
  </si>
  <si>
    <t>4 mcg</t>
  </si>
  <si>
    <t>1 po 75 mcg/0,3 ml</t>
  </si>
  <si>
    <t>napunjen injekcioni špric, 1 po 150 mcg/0,3 ml</t>
  </si>
  <si>
    <t>F. Hoffmann-La Roche Ltd.</t>
  </si>
  <si>
    <t>napunjen injekcioni špric, 1 po 30 mcg/0,3 ml</t>
  </si>
  <si>
    <t>napunjen injekcioni špric, 1 po 120 mcg/0,3 ml</t>
  </si>
  <si>
    <t>film tableta</t>
  </si>
  <si>
    <t>Italija</t>
  </si>
  <si>
    <t>kapsula, tvrda</t>
  </si>
  <si>
    <t>Belgija</t>
  </si>
  <si>
    <t>L01BA04</t>
  </si>
  <si>
    <t>pemetreksed</t>
  </si>
  <si>
    <t>prašak za koncentrat za rastvor za infuziju</t>
  </si>
  <si>
    <t>Francuska</t>
  </si>
  <si>
    <t>L01DB06</t>
  </si>
  <si>
    <t>idarubicin</t>
  </si>
  <si>
    <t>ZAVEDOS ◊</t>
  </si>
  <si>
    <t>L01XC02</t>
  </si>
  <si>
    <t>rituksimab</t>
  </si>
  <si>
    <t>koncentrat za rastvor za infuziju</t>
  </si>
  <si>
    <t>bočica, 2 po 10 ml (100 mg/10 ml)</t>
  </si>
  <si>
    <t>bočica, 1 po 50 ml (500 mg/50 ml)</t>
  </si>
  <si>
    <t>L01XC03</t>
  </si>
  <si>
    <t>trastuzumab</t>
  </si>
  <si>
    <t>HERCEPTIN ◊</t>
  </si>
  <si>
    <t>L01XC06</t>
  </si>
  <si>
    <t>cetuksimab</t>
  </si>
  <si>
    <t>ERBITUX ◊</t>
  </si>
  <si>
    <t>rastvor za infuziju</t>
  </si>
  <si>
    <t>bočica staklena,1 po 20 ml (5 mg/ml)</t>
  </si>
  <si>
    <t>Merck KGaA</t>
  </si>
  <si>
    <t>L01XC07</t>
  </si>
  <si>
    <t>bevacizumab</t>
  </si>
  <si>
    <t>AVASTIN ◊</t>
  </si>
  <si>
    <t>L01XE02</t>
  </si>
  <si>
    <t>gefitinib</t>
  </si>
  <si>
    <t>IRESSA ◊</t>
  </si>
  <si>
    <t>30 po 250 mg</t>
  </si>
  <si>
    <t>AstraZeneca UK Limited</t>
  </si>
  <si>
    <t>Velika Britanija</t>
  </si>
  <si>
    <t>L01XE03</t>
  </si>
  <si>
    <t>erlotinib</t>
  </si>
  <si>
    <t>TARCEVA ◊</t>
  </si>
  <si>
    <t>blister, 30 po 25 mg</t>
  </si>
  <si>
    <t>blister, 30 po 100 mg</t>
  </si>
  <si>
    <t>blister, 30 po 150 mg</t>
  </si>
  <si>
    <t>L01XE04</t>
  </si>
  <si>
    <t>sunitinib</t>
  </si>
  <si>
    <t>SUTENT ◊</t>
  </si>
  <si>
    <t>Pfizer Italia S.R.L.</t>
  </si>
  <si>
    <t>blister, 28 po 25 mg</t>
  </si>
  <si>
    <t>blister, 112 po 200 mg</t>
  </si>
  <si>
    <t>L01XE07</t>
  </si>
  <si>
    <t>lapatinib</t>
  </si>
  <si>
    <t>TYVERB ◊</t>
  </si>
  <si>
    <t>L01XE08</t>
  </si>
  <si>
    <t>nilotinib</t>
  </si>
  <si>
    <t>TASIGNA ◊</t>
  </si>
  <si>
    <t>Novartis Pharma Stein AG</t>
  </si>
  <si>
    <t>L01XX14</t>
  </si>
  <si>
    <t>tretinoin</t>
  </si>
  <si>
    <t>VESANOID ◊</t>
  </si>
  <si>
    <t>Cenexi; Cheplapharm Arzneimittel GmbH</t>
  </si>
  <si>
    <t>Francuska; Nemačka</t>
  </si>
  <si>
    <t>prašak za rastvor za injekciju</t>
  </si>
  <si>
    <t>L03AB07</t>
  </si>
  <si>
    <t>interferon beta 1a</t>
  </si>
  <si>
    <t>REBIF</t>
  </si>
  <si>
    <t>napunjen injekcioni špric sa iglom, 12 po 0,5 ml (44 mcg/0,5 ml)</t>
  </si>
  <si>
    <t>interferon beta-1a</t>
  </si>
  <si>
    <t>napunjen injekcioni špric sa iglom, 12 po 0,5 ml (22 mcg/0,5 ml)</t>
  </si>
  <si>
    <t>AVONEX</t>
  </si>
  <si>
    <t>napunjen injekcioni špric, 4 po 0,5 ml (30 mcg/0,5 ml)</t>
  </si>
  <si>
    <t>4,3 mcg</t>
  </si>
  <si>
    <t>L03AB08</t>
  </si>
  <si>
    <t>interferon beta 1b</t>
  </si>
  <si>
    <t>BETAFERON</t>
  </si>
  <si>
    <t>prašak i rastvarač za rastvor za injekciju</t>
  </si>
  <si>
    <t>bočica i rastvarač u napunjenom injekcionom špricu, 15 po 1,2 ml  (250 mcg/ml)</t>
  </si>
  <si>
    <t>4 Mi.j.</t>
  </si>
  <si>
    <t>Irska</t>
  </si>
  <si>
    <t>L03AB11</t>
  </si>
  <si>
    <t>peginterferon alfa-2a</t>
  </si>
  <si>
    <t>PEGASYS</t>
  </si>
  <si>
    <t>26 mcg</t>
  </si>
  <si>
    <t>napunjen injekcioni špric sa iglom, 1 po 0,5 ml (180 mcg/0,5 ml)</t>
  </si>
  <si>
    <t>rastvor za injekciju u penu sa uloškom</t>
  </si>
  <si>
    <t>L03AX13</t>
  </si>
  <si>
    <t>glatiramer acetat</t>
  </si>
  <si>
    <t>COPAXONE</t>
  </si>
  <si>
    <t>20 mg</t>
  </si>
  <si>
    <t>L04AB01</t>
  </si>
  <si>
    <t>etanercept</t>
  </si>
  <si>
    <t>ENBREL</t>
  </si>
  <si>
    <t>7 mg</t>
  </si>
  <si>
    <t>napunjen injekcioni špric sa iglom, 4 po 1 ml (50 mg/ml)</t>
  </si>
  <si>
    <t>pen sa uloškom, 4 po 1 ml (50 mg/ml)</t>
  </si>
  <si>
    <t>L04AB02</t>
  </si>
  <si>
    <t>infliksimab</t>
  </si>
  <si>
    <t>REMICADE</t>
  </si>
  <si>
    <t>bočica, 1 po 100 mg</t>
  </si>
  <si>
    <t>Janssen Biologics B.V.</t>
  </si>
  <si>
    <t>3,75 mg</t>
  </si>
  <si>
    <t>L04AB04</t>
  </si>
  <si>
    <t>adalimumab</t>
  </si>
  <si>
    <t>HUMIRA</t>
  </si>
  <si>
    <t>2,9 mg</t>
  </si>
  <si>
    <t>L04AB06</t>
  </si>
  <si>
    <t>golimumab</t>
  </si>
  <si>
    <t>SIMPONI</t>
  </si>
  <si>
    <t>1,66 mg</t>
  </si>
  <si>
    <t>L04AC07</t>
  </si>
  <si>
    <t>tocilizumab</t>
  </si>
  <si>
    <t>ACTEMRA</t>
  </si>
  <si>
    <t>bočica staklena, 1 po 4 ml (80 mg/4 ml)</t>
  </si>
  <si>
    <t>Roche Pharma AG</t>
  </si>
  <si>
    <t>bočica staklena, 1 po 10 ml (200 mg/10 ml)</t>
  </si>
  <si>
    <t>bočica staklena, 1 po 20 ml (400 mg/20 ml)</t>
  </si>
  <si>
    <t>M05BA08</t>
  </si>
  <si>
    <t>zoledronska kiselina</t>
  </si>
  <si>
    <t>ZOMETA</t>
  </si>
  <si>
    <t>4 mg</t>
  </si>
  <si>
    <t xml:space="preserve">ZOLEDRONATE PHARMASWISS </t>
  </si>
  <si>
    <t>bočica staklena, 1 po 5 ml (4 mg/5 ml)</t>
  </si>
  <si>
    <t>N07XX02</t>
  </si>
  <si>
    <t>riluzol</t>
  </si>
  <si>
    <t>RILUTEK</t>
  </si>
  <si>
    <t>blister, 56 po 50 mg</t>
  </si>
  <si>
    <t>Sanofi Winthrope Industrie</t>
  </si>
  <si>
    <t>0,1 g</t>
  </si>
  <si>
    <t>bočica sa praškom i bočica sa rastvaračem, 1 po 20 ml (440 mg/20 ml)</t>
  </si>
  <si>
    <t>Glaxo Wellcome Operations; Glaxo Wellcome S.A.</t>
  </si>
  <si>
    <t>Velika Britanija; Španija</t>
  </si>
  <si>
    <t>kapsula, meka</t>
  </si>
  <si>
    <t>bočica staklena, 100 po 10 mg</t>
  </si>
  <si>
    <t>epoetin alfa</t>
  </si>
  <si>
    <t>BINOCRIT</t>
  </si>
  <si>
    <t>6 po 1ml (2000ij/1ml)</t>
  </si>
  <si>
    <t>Sandoz GmbH</t>
  </si>
  <si>
    <t>4mg</t>
  </si>
  <si>
    <t>ZITOMERA</t>
  </si>
  <si>
    <t>bočica, 1 po 5 ml (4mg/5ml)</t>
  </si>
  <si>
    <t>Actavis Italy S.P.A</t>
  </si>
  <si>
    <t xml:space="preserve"> napunjen injekcioni špric, 6 po 0,5 ml (2000 i.j./0,5 ml)</t>
  </si>
  <si>
    <t>prašak i rastvarač za koncentrat za rastvor za infuziju</t>
  </si>
  <si>
    <t>0069152</t>
  </si>
  <si>
    <t>0069145</t>
  </si>
  <si>
    <t>0069165</t>
  </si>
  <si>
    <t>0069222</t>
  </si>
  <si>
    <t>0069227</t>
  </si>
  <si>
    <t>0069235</t>
  </si>
  <si>
    <t>0069223</t>
  </si>
  <si>
    <t>0069224</t>
  </si>
  <si>
    <t>0069228</t>
  </si>
  <si>
    <t>0069939</t>
  </si>
  <si>
    <t>0069924</t>
  </si>
  <si>
    <t>0069928</t>
  </si>
  <si>
    <t>0069934</t>
  </si>
  <si>
    <t>0069206</t>
  </si>
  <si>
    <t>0069205</t>
  </si>
  <si>
    <t>0069203</t>
  </si>
  <si>
    <t>0069213</t>
  </si>
  <si>
    <t>0069212</t>
  </si>
  <si>
    <t>0033181</t>
  </si>
  <si>
    <t>0014140</t>
  </si>
  <si>
    <t>0014141</t>
  </si>
  <si>
    <t>0039345</t>
  </si>
  <si>
    <t>0039153</t>
  </si>
  <si>
    <t>0039401</t>
  </si>
  <si>
    <t>0039400</t>
  </si>
  <si>
    <t>1039703</t>
  </si>
  <si>
    <t>1039704</t>
  </si>
  <si>
    <t>1039706</t>
  </si>
  <si>
    <t>1039715</t>
  </si>
  <si>
    <t>1039710</t>
  </si>
  <si>
    <t>0328388</t>
  </si>
  <si>
    <t>0328387</t>
  </si>
  <si>
    <t>0328647</t>
  </si>
  <si>
    <t>0015150</t>
  </si>
  <si>
    <t>0328608</t>
  </si>
  <si>
    <t>0014310</t>
  </si>
  <si>
    <t>0014312</t>
  </si>
  <si>
    <t>0014313</t>
  </si>
  <si>
    <t>0014220</t>
  </si>
  <si>
    <t>0014205</t>
  </si>
  <si>
    <t>0014400</t>
  </si>
  <si>
    <t>0014401</t>
  </si>
  <si>
    <t>0014402</t>
  </si>
  <si>
    <t>0059211</t>
  </si>
  <si>
    <t>0059222</t>
  </si>
  <si>
    <t>0059010</t>
  </si>
  <si>
    <t>1079070</t>
  </si>
  <si>
    <t>napunjen injekcioni špric, 2 po 0,8 ml (40 mg/0,8 ml)</t>
  </si>
  <si>
    <t>MABTHERA</t>
  </si>
  <si>
    <t>boca, 70 po 250 mg</t>
  </si>
  <si>
    <t>tableta</t>
  </si>
  <si>
    <t>bočica staklena, 1 po 100 mg</t>
  </si>
  <si>
    <t>Rumunija</t>
  </si>
  <si>
    <t>0014204</t>
  </si>
  <si>
    <t>REMSIMA</t>
  </si>
  <si>
    <t>Biotec Services International Limited</t>
  </si>
  <si>
    <t>0014221</t>
  </si>
  <si>
    <t>INFLECTRA</t>
  </si>
  <si>
    <t>0059214</t>
  </si>
  <si>
    <t>ZOLEDRONAT SANDOZ</t>
  </si>
  <si>
    <t>plastična bočica,1 po 5ml (4mg/5ml)</t>
  </si>
  <si>
    <t>Novartis Pharma Stein AG; Ebewe Pharma; Lek Farmaceutska družba D.D</t>
  </si>
  <si>
    <t>Nemačka; Austrija; Slovenija</t>
  </si>
  <si>
    <t>0039346</t>
  </si>
  <si>
    <t>bočica staklena, 1 po 5 ml (600mg/5ml)</t>
  </si>
  <si>
    <t>0039505</t>
  </si>
  <si>
    <t>L01XC08</t>
  </si>
  <si>
    <t>panitumumab</t>
  </si>
  <si>
    <t>VECTIBIX ◊</t>
  </si>
  <si>
    <t>bočica staklena, 1 po 5ml (20mg/ml)</t>
  </si>
  <si>
    <t>L01XE11</t>
  </si>
  <si>
    <t>pazopanib</t>
  </si>
  <si>
    <t>bočica, 30 po 200mg</t>
  </si>
  <si>
    <t xml:space="preserve">Glaxo Wellcome S.A.; Glaxo Wellcome Operations      </t>
  </si>
  <si>
    <t>Španija; Velika Britanija</t>
  </si>
  <si>
    <t>bočica, 60 po 400mg</t>
  </si>
  <si>
    <t>L01XE13</t>
  </si>
  <si>
    <t>afatinib</t>
  </si>
  <si>
    <t>blister, 28 po 20mg</t>
  </si>
  <si>
    <t>Boehringer Ingelheim Pharma GmBh&amp;Co.KG</t>
  </si>
  <si>
    <t>blister, 28 po 30mg</t>
  </si>
  <si>
    <t>blister, 28 po 40mg</t>
  </si>
  <si>
    <t>20mg</t>
  </si>
  <si>
    <t>1039252</t>
  </si>
  <si>
    <t>1039253</t>
  </si>
  <si>
    <t>1039276</t>
  </si>
  <si>
    <t>1039277</t>
  </si>
  <si>
    <t>B02BX04</t>
  </si>
  <si>
    <t>romiplostim</t>
  </si>
  <si>
    <t>NPLATE ◊</t>
  </si>
  <si>
    <t>30 mcg</t>
  </si>
  <si>
    <t>B02BX05</t>
  </si>
  <si>
    <t>eltrombopag</t>
  </si>
  <si>
    <t>REVOLADE ◊</t>
  </si>
  <si>
    <t>50 mg</t>
  </si>
  <si>
    <t>0039120</t>
  </si>
  <si>
    <t>L01CD04</t>
  </si>
  <si>
    <t>JEVTANA ◊</t>
  </si>
  <si>
    <t>koncentrat i rastvarač za rastvor za infuziju</t>
  </si>
  <si>
    <t>bočica sa koncentratom i bočica sa rastvaračem, 1 po 4,5 ml (60 mg/1,5 ml)</t>
  </si>
  <si>
    <t>0014000</t>
  </si>
  <si>
    <t>L01XC12</t>
  </si>
  <si>
    <t>brentuksimab vedotin</t>
  </si>
  <si>
    <t>ADCETRIS ◊</t>
  </si>
  <si>
    <t>bočica staklena, 1 po 50mg</t>
  </si>
  <si>
    <t>Takeda Italia S.P.A</t>
  </si>
  <si>
    <t>pembrolizumab</t>
  </si>
  <si>
    <t>KEYTRUDA ◊</t>
  </si>
  <si>
    <t>1039151</t>
  </si>
  <si>
    <t>L01XE05</t>
  </si>
  <si>
    <t>sorafenib</t>
  </si>
  <si>
    <t>NEXAVAR ◊</t>
  </si>
  <si>
    <t>1039152</t>
  </si>
  <si>
    <t>vemurafenib</t>
  </si>
  <si>
    <t>ZELBORAF ◊</t>
  </si>
  <si>
    <t>1039249</t>
  </si>
  <si>
    <t>L01XE18</t>
  </si>
  <si>
    <t>ruksolitinib</t>
  </si>
  <si>
    <t>JAKAVI ◊</t>
  </si>
  <si>
    <t>blister, 56 po 5mg</t>
  </si>
  <si>
    <t>1039250</t>
  </si>
  <si>
    <t>blister, 56 po 15mg</t>
  </si>
  <si>
    <t>1039251</t>
  </si>
  <si>
    <t>blister, 56 po 20mg</t>
  </si>
  <si>
    <t>1039602</t>
  </si>
  <si>
    <t>L02BB04</t>
  </si>
  <si>
    <t>enzalutamid</t>
  </si>
  <si>
    <t>XTANDI ◊</t>
  </si>
  <si>
    <t xml:space="preserve">kapsula, meka </t>
  </si>
  <si>
    <t>blister, 112 po 40 mg</t>
  </si>
  <si>
    <t>Astellas Pharma Europe B.V</t>
  </si>
  <si>
    <t>160mg</t>
  </si>
  <si>
    <t>1039721</t>
  </si>
  <si>
    <t>L02BX03</t>
  </si>
  <si>
    <t>abirateron</t>
  </si>
  <si>
    <t>ZYTIGA ◊</t>
  </si>
  <si>
    <t>boca, 120 po 250 mg</t>
  </si>
  <si>
    <t>Janssen-Cilag S.P.A.</t>
  </si>
  <si>
    <t>1g</t>
  </si>
  <si>
    <t>0015121</t>
  </si>
  <si>
    <t>L03AX16</t>
  </si>
  <si>
    <t>pleriksafor</t>
  </si>
  <si>
    <t>MOZOBIL</t>
  </si>
  <si>
    <t>bočica, 1 po1,2ml; 20mg/ml</t>
  </si>
  <si>
    <t xml:space="preserve">Genzyme Limited </t>
  </si>
  <si>
    <t>bočica sa praškom i napunjeni injekcioni špric sa rastvaračem, 4 po 1ml (25mg/1ml)</t>
  </si>
  <si>
    <t>0015119</t>
  </si>
  <si>
    <t>rastvor za injekciju u napunjenom injekcijonom špricu</t>
  </si>
  <si>
    <t>0069400</t>
  </si>
  <si>
    <t>1014022</t>
  </si>
  <si>
    <t>L04AX04</t>
  </si>
  <si>
    <t>lenalidomid</t>
  </si>
  <si>
    <t>blister, 21 po 10 mg</t>
  </si>
  <si>
    <t>10mg</t>
  </si>
  <si>
    <t>REVLIMID ◊</t>
  </si>
  <si>
    <t>napunjen injekcioni špric, 1 po 0,4 ml (10 mcg/0,4 ml)</t>
  </si>
  <si>
    <t>napunjen injekcioni špric, 1 po 0,5 ml  (20 mcg/0,5 ml)</t>
  </si>
  <si>
    <t>napunjen injekcioni špric 1 po 0,3 ml (30 mcg/0,3 ml)</t>
  </si>
  <si>
    <t>napunjen injekcioni špric 1 po 0,3 ml (60 mcg/0,3 ml)</t>
  </si>
  <si>
    <t>bočica staklena, 1 po 500 mg</t>
  </si>
  <si>
    <t>Synthon Hispania, S.L.; Synthon S.R.O</t>
  </si>
  <si>
    <t>Španija; Češka</t>
  </si>
  <si>
    <t>0034669</t>
  </si>
  <si>
    <t xml:space="preserve">bočica staklena, 1 po 500 mg </t>
  </si>
  <si>
    <t>0014142</t>
  </si>
  <si>
    <t>bočica staklena, 1 po 11.7mL (1400mg/11.7mL)</t>
  </si>
  <si>
    <t>F. Hoffmann-La Roche Ltd</t>
  </si>
  <si>
    <t>glatiramer-acetat</t>
  </si>
  <si>
    <t>REMUREL</t>
  </si>
  <si>
    <t>Španija; Holandija</t>
  </si>
  <si>
    <t>0014207</t>
  </si>
  <si>
    <t>Janssen Biologics B.V</t>
  </si>
  <si>
    <t>0014410</t>
  </si>
  <si>
    <t>napunjen injekcioni špric, 4 po 0,9ml (162mg/0,9ml)</t>
  </si>
  <si>
    <t>0034700</t>
  </si>
  <si>
    <t>Synthon S.R.O.; Synthon Hispania S.L.</t>
  </si>
  <si>
    <t>Češka; Španija</t>
  </si>
  <si>
    <t>blister, 56 po 240 mg</t>
  </si>
  <si>
    <t>napunjen injekcioni špric, 12 po 1 ml (40mg/ml)</t>
  </si>
  <si>
    <t>1 po 1 ml (100 mg/1 ml)</t>
  </si>
  <si>
    <t>PEMETREKSED PHARMAS ◊</t>
  </si>
  <si>
    <t>Sanofi-Aventis Deutschland GMBH</t>
  </si>
  <si>
    <t>Bayer AG; Bayer Healthcare Manufacturing S.R.L.; Bayer Farmacevtska Družba d.o.o.</t>
  </si>
  <si>
    <t xml:space="preserve"> Nemačka; Italija; Slovenija</t>
  </si>
  <si>
    <t>Bayer AG</t>
  </si>
  <si>
    <t>0014007</t>
  </si>
  <si>
    <t>L04AA33</t>
  </si>
  <si>
    <t>vedolizumab</t>
  </si>
  <si>
    <t>ENTYVIO</t>
  </si>
  <si>
    <t>300mg; bočica staklena, 1 po 300mg</t>
  </si>
  <si>
    <t>bočica staklena, 1 po 250 mcg</t>
  </si>
  <si>
    <t xml:space="preserve">bočica plastična, 1 po 5 ml  (4 mg/5 ml) </t>
  </si>
  <si>
    <t>Merck Serono S.P.A.; Merck Serono SA</t>
  </si>
  <si>
    <t>Italija; Švajcarska</t>
  </si>
  <si>
    <t>Holandija;
Velika Britanija</t>
  </si>
  <si>
    <t>Teva Pharmaceuticals Europe B.V.;
Norton Healthcare Limited T/A Ivax Pharmaceuticals UK</t>
  </si>
  <si>
    <t>0039004</t>
  </si>
  <si>
    <t>L01XC15</t>
  </si>
  <si>
    <t>obinutuzumab</t>
  </si>
  <si>
    <t xml:space="preserve"> bočica staklena, 1 po 40 ml (1000mg/40ml)</t>
  </si>
  <si>
    <t>0039507</t>
  </si>
  <si>
    <t>L01XC13</t>
  </si>
  <si>
    <t>pertuzumab</t>
  </si>
  <si>
    <t>bočica staklena, 1 po 14ml (420mg/14ml)</t>
  </si>
  <si>
    <t>F.Hoffmann-La Roche LTD</t>
  </si>
  <si>
    <t>PERJETA ◊</t>
  </si>
  <si>
    <t>GAZYVA ◊</t>
  </si>
  <si>
    <t>0039347</t>
  </si>
  <si>
    <t>L01XC14</t>
  </si>
  <si>
    <t>trastuzumab emtanzin</t>
  </si>
  <si>
    <t>0039348</t>
  </si>
  <si>
    <t>bočica staklena, 1 po 160 mg</t>
  </si>
  <si>
    <t>KADCYLA ◊</t>
  </si>
  <si>
    <t>1328001</t>
  </si>
  <si>
    <t>J05AX15</t>
  </si>
  <si>
    <t>sofosbuvir</t>
  </si>
  <si>
    <t>SOVALDI</t>
  </si>
  <si>
    <t>boca plastična, 28 po 400mg</t>
  </si>
  <si>
    <t>Gilead Sciences Ireland UC</t>
  </si>
  <si>
    <t>J05AX65</t>
  </si>
  <si>
    <t>sofosbuvir, ledipasvir</t>
  </si>
  <si>
    <t>HARVONI</t>
  </si>
  <si>
    <t>boca plastična, 28 po (400mg+90mg)</t>
  </si>
  <si>
    <t xml:space="preserve">1 tableta </t>
  </si>
  <si>
    <t>elbasvir, grazoprevir</t>
  </si>
  <si>
    <t>ZEPATIER</t>
  </si>
  <si>
    <t>blister, 28 po (50 mg+100mg)</t>
  </si>
  <si>
    <t>Schering-Plough Labo NV</t>
  </si>
  <si>
    <t>Indikacija</t>
  </si>
  <si>
    <t>Napomena</t>
  </si>
  <si>
    <t xml:space="preserve"> 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</si>
  <si>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</si>
  <si>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 xml:space="preserve"> 1. Primenjuje se u zdravstvenim ustanovama gde se vrši dijaliza: samo za lečenje anemije u hroničnoj insuficijenciji bubrega sa hemoglobinom nižim od 90 g/l do postizanja i održavanja ciljnih vrednosti hemoglobina 110 g/l.
  - za ovu indikaciju obavezno je pre primene darbepoetina popuniti depoe gvožđa, sanirati infekcije i zapaljenska stanja i obezbediti dobru izdijaliziranost bolesnika.
  2. Primenjuje se u zdravstvenim ustanovama koje obavljaju zdravstvenu delatnost na sekundarnom ili tercijarnom nivou a na osnovu mišljenja lekara nefrologa: za lečenje pacijenata sa anemijom u hroničnoj insuficijenciji bubrega, kod kojih su vrednosti klirensa kreatinina  ≤50 ml/min,  do postizanja i održavanja ciljnih vrednosti hemoglobina 110 g/l.
  - za ovu indikaciju obavezno je   pre primene darbepoetina  korigovati sve razloge za nastanak anemije (nadoknada gvožđa, vitamina, drugih nutritivnih faktora, zaustaviti krvarenje).</t>
  </si>
  <si>
    <t xml:space="preserve">  1. Primenjuje se u zdravstvenim ustanovama koje obavljaju zdravstvenu delatnost na sekundarnom ili tercijarnom nivou a na osnovu mišljenja lekara nefrologa: za lečenje pacijenata sa anemijom u hroničnoj bubrežnoj insuficijenciji, kod kojih su vrednosti klirensa kreatinina  ≤ 50 ml/min,  do postizanja i održavanja ciljnih vrednosti hemoglobina 110 g/l.
 - za ovu indikaciju obavezno  je  pre primene dugodelujućih preparata eritropoetina korigovati sve  razloge za nastanak anemije (nadoknada gvožđa, vitamina, drugih nutritivnih faktora, zaustaviti krvarenje).</t>
  </si>
  <si>
    <t>Kastraciono-rezistentni metastatski karcinom prostate, terapija posle progresije na hemioterapiju docetakselom, kod pacijenata sa PS 0-2 (C61).
Lek se primenjuje sa prednizonom ili prednizolonom.</t>
  </si>
  <si>
    <t>Svi oblici akutnih leukemija i limfoblastni limfom.</t>
  </si>
  <si>
    <t xml:space="preserve">   ◊ 1. Nehočkinski limfomi, CD20 pozitivan, podtip: difuzni krupnoćelijski, novodijagnostikovani uz hemioterapiju (C83.3; C83.8).
  ◊  2. Nehočkinski limfomi, CD20 pozitivan, podtip: folikularni, novodijagnostikovani i u recidivu bolesti (C82).
  3. Reumatoidni artritis (M05 i M06) - rituksimab u kombinaciji sa metotreksatom uvodi se u terapiju ukoliko su ispunjena oba kriterijuma i to: 
    a) posle šest meseci primene lekova koji modifikuju tok bolesti (LMTB) nije postignut odgovarajući klinički odgovor tj. poboljšanje  DAS28 skora za najmanje 1,2 ili više ili postoje elementi nepodnošljivosti lekova koji modifikuju tok bolesti (LMTB), i
    b) posle šest meseci od početka primene prethodnog biološkog leka nije postignut adekvatan klinički odgovor tj. poboljšanje (smanjenje DAS28 skora za najmanje 1,2).
         Ukoliko je započeto lečenje rituksimabom, neophodno je terapijske cikluse ponavljati na šest meseci ili nakon dužeg perioda, u zavisnosti od stanja bolesnika i broja limfocita u perifernoj krvi.
  ◊ 4.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</si>
  <si>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 1. Nehočkinski limfom, CD20 pozitivan, podtip: difuzni krupnoćelijski, novodijagnostikovani uz hemioterapiju (C83.3; C83.8)
 ◊ 2. Nehočkinski limfom, CD20 pozitivan, podtip: folikularni, novodijagnostikovani i u recidivu bolesti (C82).</t>
  </si>
  <si>
    <t>Nesitnoćelijski karcinom pluća u stadijumu IIIb i IV u prvoj liniji lečenja kod pacijenata sa pozitivnim testom na mutaciju tirozin kinaze receptora za epidermalni faktor rasta (EGFR-TK), PS 0 ili 1.</t>
  </si>
  <si>
    <t xml:space="preserve"> 1. Adenokarcinom pluća u stadijumu IIIb i IV u drugoj liniji sistemskog lečenja kod bolesnika sa PS 0 ili 1, kod kojih je u prethodnom lečenju registrovana značajna toksičnost.
 2. Nesitnoćelijski karcinom pluća u stadijumu IIIb i IV u prvoj liniji lečenja kod pacijenata sa pozitivnim testom na mutaciju tirozin kinaze receptora za epidermalni faktor rasta (EGFR-TK), PS 0 ili 1.</t>
  </si>
  <si>
    <t>Lokalno odmakli i/ili metastatski karcinom bubrežnih ćelija (svetloćelijski podtip), kod bolesnika dobre ili intermedijarne prognoze sa PS 0 ili 1, u prvoj liniji sistemskog lečenja.</t>
  </si>
  <si>
    <t>Akutna mijeolidna leukemija, podtip akutna promijelocitna leukemija.</t>
  </si>
  <si>
    <t xml:space="preserve"> Multipla skleroza</t>
  </si>
  <si>
    <t xml:space="preserve"> Lek se uvodi u terapiju na osnovu mišljenja Komisije RFZO.</t>
  </si>
  <si>
    <t>Lek se uvodi u terapiju na osnovu mišljenja Komisije RFZO.</t>
  </si>
  <si>
    <t>Multipla skleroza</t>
  </si>
  <si>
    <t>Multipla skleroza.</t>
  </si>
  <si>
    <t>Lek se uvodi u terapiju na osnovu mišljenja tri lekara specijalista hematologije zdravstvene ustanove koja obavlja transplantaciju matičnih ćelija hematopoeze.</t>
  </si>
  <si>
    <t xml:space="preserve">
1. Juvenilni idiopatski artritis (M08) i to: 
a) poliartritis (pozitivni ili negativni na reumatoidni faktor) i prošireni oligoartritis kod dece uzrasta od 2 godine, i starijih, kod kojih postoji neadekvatan odgovor na metotreksat ili dokazana netolerancija na metotreksat; 
b) psorijazni artritis kod adolescenata starijih od 12 godina koji nisu imali odgovarajući odgovor na metotreksat ili je dokazana netolerancija na metotreksat; 
c) artritis povezan sa entezitisom kod adolescenata starijih od 12 godina koji nisu imali odgovarajući odgovor na ili kod kojih je dokazana netolerancija na konvencionalnu terapiju
2.Reumatoidni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Pedijatrijska plak psorijaza - teška forma hronične plak psorijaze (PASI ≥ 10 i/ili BSA ≥ 10 i/ili DLQI  ≥ 10) kod dece starije od 6 godina i kod adolescenata, koji nisu odgovorili, ili ne podnose, ili imaju kontraindikacije na najmanje dva različita ranije primenjena konvencionalna leka, uključujući fototerapiju, retinoide, metotreksat i ciklosporin (L40.0-L40.3; L40.5-L40.9).</t>
  </si>
  <si>
    <t xml:space="preserve">  Lek se uvodi u terapiju na osnovu mišljenja Komisije RFZO.</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</si>
  <si>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</si>
  <si>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</si>
  <si>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 xml:space="preserve">
 Lek se uvodi u terapiju na osnovu mišljenja Komisije RFZO.</t>
  </si>
  <si>
    <t xml:space="preserve">
1. a) Aktivni sistemski juvenilni artritis (M08.2; M06.1) kod pacijenata uzrasta od 2 godine, i starijih, koji nisu adekvatno odgovorili na prethodnu terapiju nesteroidnim antiinflamatornim lekovima (NSAIL) i sistemskim kortikosteroidima 
b) Juvenilni idiopatski poliartritis (pozitivni ili negativni na reumatoidni faktor) i prošireni oligoartritis (M08), kod pacijenata starih 2 godine i starijih, koji nisu adekvatno odgovorili na prethodnu terapiju metotreksatom.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</si>
  <si>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STAC; Lek se uvodi u terapiju na osnovu mišljenja Komisije RFZO.</t>
  </si>
  <si>
    <t>STAC; Lek se uvodi u terapiju na osnovu mišljenja tri lekara zdravstvene ustanove koja obavlja zdravstvenu delatnost na sekundarnom ili teracijarnom nivou zdravstvene zaštite.</t>
  </si>
  <si>
    <t xml:space="preserve"> 1. Humoralna hiperkalcemija u malignitetu ( HHM ) preko 3,0 mmol/l, primena i održavanje normokalcemije tokom narednih šest meseci;
  2. Hiperkalcemije preko 3.0 mmol/l;
  3. Hiperkalcemijska koma.                                       </t>
  </si>
  <si>
    <t xml:space="preserve">  1. Amiotrofična lateralna skleroza - AML  ( G12.2 ).</t>
  </si>
  <si>
    <t>Hronični hepatitis C za genotip 1 i 4(B18.2):
1.    Kompenzovana i dekompenzovana ciroza jetre nakon transplantacije;
2.    Kompenzovana i dekompenzovana ciroza jetre sa ekstrahepatičnim manifestacijama;
3.    Kompenzovana ciroza jetre i bubrežna insuficijencija (isključivo sa klirensom kreatinina preko 30ml/min);
4.    Kompenzovana i dekompenzovana ciroza jetre i limfomi odnosno hemofilije;
5.    Kompenzovana i dekompenzovana ciroza jetre sa HBV i/ili HIV koinfekcijom;
6.    Prethodno neuspešno lečena kompenzovana i dekompenzovana ciroza jetre.</t>
  </si>
  <si>
    <t>Druga terapijska linija kod  bolesnika sa hroničnom  mijeloidnom leukemijom, otpornih ili netolerantnih na bar jednu prethodnu terapiju, uključujući imatinib mesilat.</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</si>
  <si>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Herceptina u kombinaciji sa taksanskom hemioterapijom tokom 4 ciklusa a nakon prethodne sekvencijalne primene antraciklina. Kod ove grupe nastavak primene Herceptina u adjuvantnom tretmanu, nakon operacije, do ukupno godinu dana, računajući i primenu Herceptina u neoadjuvantnom pristupu.</t>
  </si>
  <si>
    <t>16,8 mg</t>
  </si>
  <si>
    <t xml:space="preserve">
Karcinom dojke - druga ili treća linija metastatskog HER2 pozitivnog karcinoma dojke, u kombinaciji sa lekom kapecitabin, kod pacijenata sa progresijom osnovne bolesti i PS 0-1, prethodno lečenih  taksanima u kombinaciji sa anti HER2 terapijom, trastuzumab ± pertuzumab (u tom slučaju lapatinib je druga linija), kao i lekom trastuzumab emtanzin (u tom slučaju lapatinib je treća linija). </t>
  </si>
  <si>
    <t>400 mg</t>
  </si>
  <si>
    <t>1. Za lečenje teškog oblika aktivne Crohn-ove bolesti (K-50), kod pacijenata kod kojih prethodno lečenje kortikosteroidima i/ili nutritivnom terapijom, i imunosupresivima nije dalo zadovoljavajući odgovor, ili postoji kontraindikacija za pomenutu konvecionalnu terapiju.
2.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</si>
  <si>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Hronični hepatitis C za genotip 2 sa ribavirinom (B18.2):
1.    Pacijenti nakon transplantacije;
2.    Kompenzovana i dekompenzovana ciroza jetre sa ekstrahepatičnim manifestacijama;
3.    Kompenzovana ciroza jetre i bubrežna insuficijencija (isključivo sa klirensom kreatinina preko 50ml/min);
4.    Kompenzovana i dekompenzovana ciroza jetre i limfomi odnosno hemofilije;
5.    Kompenzovana i dekompenzovana ciroza jetre sa HBV/HCV i/ili HIV/HCV koinfekcijom;
6.    Prethodno neuspešno lečena kompenzovana i dekompenzovana ciroza jetre;
Hronični hepatitis C za genotip 3 u kombinaciji sa pegilovanim interferonom i ribavirinom (B18.2):
1.    Pacijenti nakon transplantacije;
2.    Kompenzovana ciroza jetre sa ekstrahepatičnim manifestacijama;
3.    Kompenzovana ciroza jetre i bubrežna insuficijencija (isključivo sa klirensom kreatinina preko 50ml/min);
4.    Kompenzovana ciroza jetre i limfomi odnosno hemofilije;
5.    Kompenzovana ciroza jetre sa HBV/HCV i/ili HIV/HCV koinfekcijom;
6.    Prethodno neuspešno lečena kompenzovana ciroza jetre.</t>
  </si>
  <si>
    <t>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</si>
  <si>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</si>
  <si>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</si>
  <si>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</si>
  <si>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1039409</t>
  </si>
  <si>
    <t>INOPRAN ◊</t>
  </si>
  <si>
    <t>Remedica Ltd</t>
  </si>
  <si>
    <t>Kipar</t>
  </si>
  <si>
    <t>1039410</t>
  </si>
  <si>
    <t>1039411</t>
  </si>
  <si>
    <t>0015122</t>
  </si>
  <si>
    <t>Synthon Hispania, S.L;
Synthon B.V.</t>
  </si>
  <si>
    <t>1.Kod pacijenata obolelih od non-Hodgkin limfoma ili multiplog mijeloma koji su predhodno imali bar jednu neuspešnu mobilizaciju matičnih ćelija hematopoeze (prikupljeno&lt;2x10⁶CD 34+/kg telesne mase) (Z94).
2. Kod pacijenata obolelih od non-Hodgkin limfoma ili multiplog mijeloma kod kojih u toku mobilizacije, nakon 5 dana primene G-CSF-a, broj matičnih ćelija hematopoeze u perifernoj krvi nije dostigao odgovarajući nivo koji je potreban za ulazak u proces afereze (broj matičnih ćelija hematopoeze &lt;20CD34+/µL periferne krvi) ili kod pacijenata koji su prikupili &lt;2x10⁶CD34+ ćelija/kg u manje od 3 aferezena postupka u okviru jedne mobilizacije (Z94).</t>
  </si>
  <si>
    <t>rastvor za injekciju u  napunjenom injekcionom špricu</t>
  </si>
  <si>
    <t>Cilag AG; Janssen Biologics B.V.</t>
  </si>
  <si>
    <t>Švajcarska; Holandija</t>
  </si>
  <si>
    <t>0039403</t>
  </si>
  <si>
    <t xml:space="preserve">koncentrat za rastvor za infuziju </t>
  </si>
  <si>
    <t>bočica staklena, 1 po 4 ml (25mg/ml)</t>
  </si>
  <si>
    <t>1014100</t>
  </si>
  <si>
    <t>L04AA29</t>
  </si>
  <si>
    <t>tofacitinib</t>
  </si>
  <si>
    <t>XELJANZ</t>
  </si>
  <si>
    <t xml:space="preserve">blister, 56 po 5 mg </t>
  </si>
  <si>
    <t>Pfizer Manufacturing Deutschland GmbH - Betriebsstatte Freiburg</t>
  </si>
  <si>
    <t>10 mg</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</si>
  <si>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</si>
  <si>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1014032</t>
  </si>
  <si>
    <t>L04AA37</t>
  </si>
  <si>
    <t>baricitinib</t>
  </si>
  <si>
    <t>OLUMIANT</t>
  </si>
  <si>
    <t>blister, 35 po 4 mg</t>
  </si>
  <si>
    <t>Lilly, S.A.</t>
  </si>
  <si>
    <t>Španija</t>
  </si>
  <si>
    <t>0014420</t>
  </si>
  <si>
    <t>L04AC10</t>
  </si>
  <si>
    <t>sekukinumab</t>
  </si>
  <si>
    <t>COSENTYX</t>
  </si>
  <si>
    <t>napunjen injekcioni špric, 2 po 1 ml (150mg)</t>
  </si>
  <si>
    <t>0014302</t>
  </si>
  <si>
    <t>L04AC05</t>
  </si>
  <si>
    <t>ustekinumab</t>
  </si>
  <si>
    <t>STELARA</t>
  </si>
  <si>
    <t>napunjen injekcioni špric, 1 po 0,5 ml (45 mg/0,5 ml)</t>
  </si>
  <si>
    <t>Janssen Biologics B.V.;
Cilag AG</t>
  </si>
  <si>
    <t>Holandija; Švajcarska</t>
  </si>
  <si>
    <t>0.54 mg</t>
  </si>
  <si>
    <t>0014305</t>
  </si>
  <si>
    <t>napunjen injekcioni špric, 1 po 1 ml (90 mg/ml)</t>
  </si>
  <si>
    <t>0069147</t>
  </si>
  <si>
    <t>napunjen injekcioni špric, 6 po 0,4ml (4000i.j./0,4ml)</t>
  </si>
  <si>
    <t>1039408</t>
  </si>
  <si>
    <t>S.C. Sindan-Pharma S.R.L.</t>
  </si>
  <si>
    <t>1039407</t>
  </si>
  <si>
    <t>1039406</t>
  </si>
  <si>
    <t>ERLOTINIB ACTAVIS ◊</t>
  </si>
  <si>
    <t>blister, 21 po 25 mg</t>
  </si>
  <si>
    <t>L01XX46</t>
  </si>
  <si>
    <t>olaparib</t>
  </si>
  <si>
    <t>LYNPARZA ◊</t>
  </si>
  <si>
    <t>0099082</t>
  </si>
  <si>
    <t>S01LA05</t>
  </si>
  <si>
    <t>aflibercept</t>
  </si>
  <si>
    <t>bočica, 1 po 0.1ml (40mg/ml)</t>
  </si>
  <si>
    <t>Bayer Pharma AG; Bayer, Farmaceutska družba d.o.o.</t>
  </si>
  <si>
    <t>Nemačka; Slovenija</t>
  </si>
  <si>
    <t>Za lečenje bolesnika sa dijabetičnim makularnim edemom koji zahvata centar makule (CSME) i kod kojih je fluoresceinskom angiografijom (FA) utvrđena prisutnost propuštajućih mikroaneurizmi smeštenih unutar 500 µm nedostupnih laserskoj fotokoagulaciji (FKG), bez znakova makularne ishemije, odnosno optičkom koherentnom tomografijom (OCT) potvrđeno centralno zadebljanje makule &gt;350 µm  sa elementima edema bez subretinalne fibroze i epimakularne membrane,  sa vidnom oštrinom ≥ 0,6 (6/10) i vrednosti HbA1C ≤ 8.</t>
  </si>
  <si>
    <t>Primena terapije se vrši u zdravstvenim ustanovama koje poseduju FA i OCT, a na osnovu mišljenja Komisije RFZO. Procena terapijskog odgovora se vrši nakon 3 meseca.</t>
  </si>
  <si>
    <t>Velika Britanija; Holandija</t>
  </si>
  <si>
    <t>1. Novodijagnostikovani bolesnici sa primarnom mijelofibrozom sa izraženom splenomegalijom ili konstitucionalnim simptomima a koji po IPSS prognostičkom skoru pripadaju podrgupama intermedijarnog ili visokog rizika (D47.4). 
2. Prethodno lečeni bolesnici sa primarnom mijelofibrozom, post PV mijelofibrozom ili post ET mijelofibrozom koji imaju izraženu splenomegaliju ili konstitucionalne simptome, a rezistentni su na terapiju hidroksiureom (D47.4).</t>
  </si>
  <si>
    <t xml:space="preserve">
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</si>
  <si>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</si>
  <si>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EYLEA ◊</t>
  </si>
  <si>
    <t>1. Lek obinutuzumab se primenjuje u kombinaciji sa hlorambucilom u prvoj terapijskoj liniji kod bolesnika sa hroničnom limfocitnom leukemijom kod kojih je komorbiditetni indeks CIRS≥6.
2. Lek obinutuzumab u kombinaciji sa hemioterapijom, nakon čega sledi terapija održavanja lekom obinutuzumab kod pacijenata kod kojih je postignut odgovor, indikovan je u terapiji pacijenata sa prethodno nelečenim uznapredovalim folikularnim limfomom (C82).</t>
  </si>
  <si>
    <t>Cena leka na veliko za pakovanje</t>
  </si>
  <si>
    <t>1. Lečenje odraslih bolesnika sa relapsom ili refraktarnim CD30 pozitivnim Hodgkin limfomom (C81.0-C81.4): 
a) nakon autologe transplantacije matičnih ćelija hematopoeze ili 
b) nakon najmanje dva prethodna ciklusa lečenja kod bolesnika kod kojih je autologa transplantacija kontraindikovana
2. Lečenje odraslih bolesnika (PS 0-2) sa CD30-pozitivnim Hodginovim lifomom kao konsolidaciona terapija nakon autologe transplantacije matičnih ćelija hematopoeze kod bolesnika sa visokim rizikom za relaps ili progresiju bolesti (C81.1; C81.2;C81.3)
3.Lečenje odraslih bolesnika sa relapsom ili refrakternim sistemskim anaplastičnim limfomom velikih ćelija (sALCL) (C 84.4)</t>
  </si>
  <si>
    <t>0034420</t>
  </si>
  <si>
    <t>PEMETREKSED PLIVA ◊</t>
  </si>
  <si>
    <t>Pharmachemie B.V.; Teva Gyogyszergyar ZRT; Pliva Hrvatska d.o.o.; Teva Operations Poland SP.Z.O.</t>
  </si>
  <si>
    <t>Holandija;  Mađarska; Hrvatska; Poljska</t>
  </si>
  <si>
    <t>0014145</t>
  </si>
  <si>
    <t>BLITZIMA</t>
  </si>
  <si>
    <t>bočica staklena, 2 po 10 mL (100mg/10mL)</t>
  </si>
  <si>
    <t xml:space="preserve">   ◊ 1. Nehočkinski limfomi, CD20 pozitivan, podtip: difuzni krupnoćelijski, novodijagnostikovani uz hemioterapiju (C83.3; C83.8).
  ◊  2. Nehočkinski limfomi, CD20 pozitivan, podtip: folikularni, novodijagnostikovani i u recidivu bolesti (C82).
  ◊ 3.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</si>
  <si>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0014144</t>
  </si>
  <si>
    <t>bočica staklena,           1 po 50 mL (500mg/50mL)</t>
  </si>
  <si>
    <t>0014151</t>
  </si>
  <si>
    <t>RIXATHON</t>
  </si>
  <si>
    <t>0014150</t>
  </si>
  <si>
    <t>0014298</t>
  </si>
  <si>
    <t>rastvor za injekciju u napunjenom injekcionom penu</t>
  </si>
  <si>
    <t>napunjeni injekcioni pen, 2 po 0,4 ml (40mg/0,4ml)</t>
  </si>
  <si>
    <t>Abbvie Biotechnology GmbH</t>
  </si>
  <si>
    <t>Celgene Europe Limited; 
Celgene Distribution B.V.</t>
  </si>
  <si>
    <t>1014041</t>
  </si>
  <si>
    <t>blister, 7 po 5 mg</t>
  </si>
  <si>
    <t>Pharmadox Healthcare Ltd.; Pharmacare Premium Ltd.; S.C. Labormed-Pharma S.A.</t>
  </si>
  <si>
    <t>Malta; Malta; Rumunija</t>
  </si>
  <si>
    <t>1014042</t>
  </si>
  <si>
    <t>1014043</t>
  </si>
  <si>
    <t>blister, 21 po 15 mg</t>
  </si>
  <si>
    <t>1014044</t>
  </si>
  <si>
    <t>Glaxo Wellcome Operations; Glaxo Wellcome S.A.; Novartis Farmaceutica S.A.</t>
  </si>
  <si>
    <t>Velika Britanija; Španija; Španija</t>
  </si>
  <si>
    <t xml:space="preserve"> 1. Terapija refraktorne hronične imunološke trombocitopenijske purpure kod pacijenata uzrasta od jedne godine i starijih (D69.3):
- kod kojih je izvršena splenektomija i koji su rezistentni na primenu lekova prve i druge terapijske linije 
- koji su rezistentni na primenu lekova prve i druge terapijske linije i kod kojih je splenektomija kontraindikovana.
2. Terapija stečene teške aplastične anemije (TAA) kod odraslih pacijenata koji su ili refraktorni na prethodnu imunosupresivnu terapiju ili su pretretirani i nepodesni za transplantaciju hematopoetskih matičnih ćelija (D61).</t>
  </si>
  <si>
    <t>0039334</t>
  </si>
  <si>
    <t>nivolumab</t>
  </si>
  <si>
    <t>OPDIVO ◊</t>
  </si>
  <si>
    <t>bočica staklena, 1 po 4 ml (10mg/ml)</t>
  </si>
  <si>
    <t>0039333</t>
  </si>
  <si>
    <t>bočica staklena, 1 po 10 ml (10mg/ml)</t>
  </si>
  <si>
    <t>Delpharm Milano S.R.L.; F.Hoffmann-La Roche LTD</t>
  </si>
  <si>
    <t>Sistemsko lečenje pacijenata sa uznapredovalim i/ili metastatskim BRAF pozitivnim melanomom kože PS 0-1(C43).</t>
  </si>
  <si>
    <t>1039102</t>
  </si>
  <si>
    <t>L01XE23</t>
  </si>
  <si>
    <t>dabrafenib</t>
  </si>
  <si>
    <t>TAFINLAR ◊</t>
  </si>
  <si>
    <t>boca plastična,120 po 75mg</t>
  </si>
  <si>
    <t>L01XE25</t>
  </si>
  <si>
    <t>trametinib</t>
  </si>
  <si>
    <t>MEKINIST ◊</t>
  </si>
  <si>
    <t>boca plastična, 30 po 2 mg</t>
  </si>
  <si>
    <t>osimertinib</t>
  </si>
  <si>
    <t>TAGRISSO ◊</t>
  </si>
  <si>
    <t>blister deljiv na pojedinačne doze, 30 po 80 mg</t>
  </si>
  <si>
    <t>AstraZeneca AB</t>
  </si>
  <si>
    <t>Švedska</t>
  </si>
  <si>
    <t>1039650</t>
  </si>
  <si>
    <t>L01XE36</t>
  </si>
  <si>
    <t>alektinib</t>
  </si>
  <si>
    <t>ALECENSA ◊</t>
  </si>
  <si>
    <t>blister, 224 po 150 mg</t>
  </si>
  <si>
    <t>Prva linija terapije za lečenje odraslih pacijenata sa uznapredovalim nemikrocelularnim karcinomom pluća pozitivnim na kinazu anaplastičnog limfoma.</t>
  </si>
  <si>
    <t>kobimetinib</t>
  </si>
  <si>
    <t>COTELLIC ◊</t>
  </si>
  <si>
    <t>blister, 63 po 20 mg</t>
  </si>
  <si>
    <t>U kombinaciji sa Zelborafom, u sistemskom lečenju pacijenata sa uznapredovalim i/ili metastatskim BRAF pozitivnim melanomom kože PS 0-1(C43).</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</si>
  <si>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</si>
  <si>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
Lek se primenjuje sa prednizonom ili prednizolonom.</t>
  </si>
  <si>
    <t>0014403</t>
  </si>
  <si>
    <t>L04AA23</t>
  </si>
  <si>
    <t>natalizumab</t>
  </si>
  <si>
    <t>TYSABRI</t>
  </si>
  <si>
    <t>bočica staklena, 1 po 15 ml (300mg/15ml)</t>
  </si>
  <si>
    <t>1014075</t>
  </si>
  <si>
    <t>L04AA27</t>
  </si>
  <si>
    <t>fingolimod</t>
  </si>
  <si>
    <t>GILENYA</t>
  </si>
  <si>
    <t>blister, 28 po 0,5 mg</t>
  </si>
  <si>
    <t>0,5 mg</t>
  </si>
  <si>
    <t>L04AA31</t>
  </si>
  <si>
    <t>teriflunomid</t>
  </si>
  <si>
    <t>AUBAGIO</t>
  </si>
  <si>
    <t>blister, 28 po 14 mg</t>
  </si>
  <si>
    <t>14 mg</t>
  </si>
  <si>
    <t>0014002</t>
  </si>
  <si>
    <t>L04AA34</t>
  </si>
  <si>
    <t>alemtuzumab</t>
  </si>
  <si>
    <t>LEMTRADA</t>
  </si>
  <si>
    <t>bočica, 1 po 1.2ml (12mg/1.2ml)</t>
  </si>
  <si>
    <t>0,13 mg</t>
  </si>
  <si>
    <t>0014008</t>
  </si>
  <si>
    <t>L04AA36</t>
  </si>
  <si>
    <t>okrelizumab</t>
  </si>
  <si>
    <t>CORPOS</t>
  </si>
  <si>
    <t>bočica staklena, 1 po 10 ml (300mg/10ml)</t>
  </si>
  <si>
    <t>Hemofarm a.d. Vršac u saradnji sa F. Hoffman-La Roche Ltd, Švajcarska</t>
  </si>
  <si>
    <t>3,29 mg</t>
  </si>
  <si>
    <t>1014010</t>
  </si>
  <si>
    <t>L04AA40</t>
  </si>
  <si>
    <t>kladribin</t>
  </si>
  <si>
    <t>MAVENCLAD</t>
  </si>
  <si>
    <t>blister, 1 po 10 mg</t>
  </si>
  <si>
    <t>Nerpharma S.R.L.; R-Pharm Germany GmbH</t>
  </si>
  <si>
    <t>Italija; Nemačka</t>
  </si>
  <si>
    <t>0,34 mg</t>
  </si>
  <si>
    <t>dimetilfumarat</t>
  </si>
  <si>
    <t>TECFIDERA</t>
  </si>
  <si>
    <t>gastrorezistentna kapsula, tvrda</t>
  </si>
  <si>
    <t>blister, 14 po 120 mg</t>
  </si>
  <si>
    <t>0,48 g</t>
  </si>
  <si>
    <t>0039370</t>
  </si>
  <si>
    <t>HERZUMA ◊</t>
  </si>
  <si>
    <t>bočica staklena, 1 po 150 mg</t>
  </si>
  <si>
    <t>0039375</t>
  </si>
  <si>
    <t>KANJINTI ◊</t>
  </si>
  <si>
    <t>0039376</t>
  </si>
  <si>
    <t>bočica staklena, 1 po 420 mg</t>
  </si>
  <si>
    <t>1039500</t>
  </si>
  <si>
    <t>GEFITINIB ZENTIVA ◊</t>
  </si>
  <si>
    <t>Pharmadox Healthcare LTD; S.C. Labormed-Pharma S.A.</t>
  </si>
  <si>
    <t>Malta; Rumunija</t>
  </si>
  <si>
    <t>1039550</t>
  </si>
  <si>
    <t>GEFITINIB SK ◊</t>
  </si>
  <si>
    <t>blister, 30 po 250 mg</t>
  </si>
  <si>
    <t>Idifarma Desarrollo Farmaceutico, S.L.</t>
  </si>
  <si>
    <t>1039510</t>
  </si>
  <si>
    <t>GEFITINIB TEVA ◊</t>
  </si>
  <si>
    <t>blister deljiv na pojedinačne doze, 30 po 250mg</t>
  </si>
  <si>
    <t>Teva UK Limited; Teva Pharma S.L.U.; Merckle GmbH; Pliva Hrvatska</t>
  </si>
  <si>
    <t>Velika Britanija; Španija; Nemačka; Hrvatska</t>
  </si>
  <si>
    <t>1039511</t>
  </si>
  <si>
    <t>blister, 30 po 250mg</t>
  </si>
  <si>
    <t>1039412</t>
  </si>
  <si>
    <t>ERLOTINIB REMEDICA ◊</t>
  </si>
  <si>
    <t>Remedica LTD</t>
  </si>
  <si>
    <t>1039415</t>
  </si>
  <si>
    <t>1039416</t>
  </si>
  <si>
    <t>1039417</t>
  </si>
  <si>
    <t>ERLOTINIB SANDOZ ◊</t>
  </si>
  <si>
    <t>blister, 30 po 100mg</t>
  </si>
  <si>
    <t>Lek Farmacevtska Družba d.d.</t>
  </si>
  <si>
    <t>Slovenija</t>
  </si>
  <si>
    <t>1039418</t>
  </si>
  <si>
    <t>blister, 30 po 150mg</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</si>
  <si>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3.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</si>
  <si>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napunjen injekcioni špric, 2 po 0,2 ml (20mg/0,2ml)</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</si>
  <si>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Za lečenje teškog oblika aktivne Crohn-ove bolesti (K50), kod pacijenata kod kojih prethodno lečenje kortikosteroidima i/ili nutritivnom terapijom, i imunosupresivima nije dalo zadovoljavajući odgovor, ili postoji kontraindikacija za pomenutu konvencionalnu terapiju.</t>
  </si>
  <si>
    <t>0014211</t>
  </si>
  <si>
    <t>napunjen injekcioni pen, 1 po 0,8 ml (80mg/0,8ml)</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</si>
  <si>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Za lečenje teškog oblika aktivne Crohn-ove bolesti (K50), kod pacijenata kod kojih prethodno lečenje kortikosteroidima i/ili nutritivnom terapijom, i imunosupresivima nije dalo zadovoljavajući odgovor, ili postoji kontraindikacija za pomenutu konvencionalnu terapiju;
3.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</si>
  <si>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0014212</t>
  </si>
  <si>
    <t>AMGEVITA</t>
  </si>
  <si>
    <t>napunjen injekcioni špric, 1 po 0,4 ml (20 mg/0,4 ml)</t>
  </si>
  <si>
    <t>Amgene Europe B.V.</t>
  </si>
  <si>
    <t>0014213</t>
  </si>
  <si>
    <t>0014214</t>
  </si>
  <si>
    <t>napunjen injekcioni pen, 2 po 0,8 ml (40 mg/0,8 ml)</t>
  </si>
  <si>
    <t>0014231</t>
  </si>
  <si>
    <t>IDACIO</t>
  </si>
  <si>
    <t>napunjen injekcioni špric, 2 po 0,8 ml (40 mg/0,8 mll)</t>
  </si>
  <si>
    <t>Fresenius Kabi Austria GmbH</t>
  </si>
  <si>
    <t>0014232</t>
  </si>
  <si>
    <t>napunjeni injekcioni pen, 2 po 0,8 ml (40 mg/0,8 mll)</t>
  </si>
  <si>
    <t>0014240</t>
  </si>
  <si>
    <t>HYRIMOZ</t>
  </si>
  <si>
    <t>napunjeni injekcioni pen, 2 po 0,8 ml (40 mg/0,8 ml)</t>
  </si>
  <si>
    <t>0014241</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</si>
  <si>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5.  Juvenilni idiopatski poliartritis (pozitivni ili negativni na reumatoidni faktor) i prošireni oligoartritis (M08), kod dece sa telesnom masom najmanje 40kg, koji nisu adekvatno odgovorili na prethodnu terapiju metotreksatom.</t>
  </si>
  <si>
    <t>1.Reumatoidni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Aktivni sistemski juvenilni artritis (M08.2; M06.1) kod pacijenata uzrasta od 2 godine, i starijih, koji nisu adekvatno odgovorili na prethodnu terapiju nesteroidnim antiinflamatornim lekovima (NSAIL) i sistemskim kortikosteroidima;
3. Juvenilni idiopatski poliartritis (pozitivni ili negativni na reumatoidni faktor) i prošireni oligoartritis (M08), kod pacijenata starih 2 godine i starijih, koji nisu adekvatno odgovorili na prethodnu terapiju metotreksatom.</t>
  </si>
  <si>
    <t>blister, 21 po 5 mg</t>
  </si>
  <si>
    <t>J05AP54</t>
  </si>
  <si>
    <t>VOTRIENT ◊</t>
  </si>
  <si>
    <t>GIOTRIF ◊</t>
  </si>
  <si>
    <t>LENALIDOMIDE ZENTIVA ◊</t>
  </si>
  <si>
    <t>PEMETREXED ZENTIVA ◊</t>
  </si>
  <si>
    <t xml:space="preserve">
Hospira Zagreb d.o.o.</t>
  </si>
  <si>
    <t xml:space="preserve">
Republika Hrvatska</t>
  </si>
  <si>
    <t>L01FF01</t>
  </si>
  <si>
    <t>1328010</t>
  </si>
  <si>
    <t>J05AP57</t>
  </si>
  <si>
    <t>glekaprevir, pibrentasvir</t>
  </si>
  <si>
    <t>MAVIRET</t>
  </si>
  <si>
    <t>blister, 84 po (100 mg + 40 mg)</t>
  </si>
  <si>
    <t>Abbvie Deutschland GmbH &amp; Co.KG; Abbvie Logistics B.V.</t>
  </si>
  <si>
    <t>Nemačka; Holandija</t>
  </si>
  <si>
    <t xml:space="preserve"> 3 tablete</t>
  </si>
  <si>
    <t>1328005</t>
  </si>
  <si>
    <t>J05AX69</t>
  </si>
  <si>
    <t>sofosbuvir, velpatasvir</t>
  </si>
  <si>
    <t>EPCLUSA</t>
  </si>
  <si>
    <t>boca plastična, 28 po (400 mg + 100 mg)</t>
  </si>
  <si>
    <t>1 tableta</t>
  </si>
  <si>
    <t>L01EL01</t>
  </si>
  <si>
    <t>ibrutinib</t>
  </si>
  <si>
    <t>IMBRUVICA  ◊</t>
  </si>
  <si>
    <t>boca plastična, 90 po 140 mg</t>
  </si>
  <si>
    <t>Janssen Pharmaceutica N.V.</t>
  </si>
  <si>
    <t>420 mg</t>
  </si>
  <si>
    <t>L01XE17</t>
  </si>
  <si>
    <t>aksitinib</t>
  </si>
  <si>
    <t>INLYTA ◊</t>
  </si>
  <si>
    <t>blister, 56 po 1 mg</t>
  </si>
  <si>
    <t>Pfizer Manufacturing Deutschland GmbH-Betriebsstatte Freiburg</t>
  </si>
  <si>
    <t>Druga terapijska linija metastatskog ili uznapredovalog, svetloćelijskog karcinoma bubrega, dobre ili srednje prognoze, PS 0-1 (C64).</t>
  </si>
  <si>
    <t>blister, 56 po 5 mg</t>
  </si>
  <si>
    <t>1039730</t>
  </si>
  <si>
    <t>L01XE26</t>
  </si>
  <si>
    <t>kabozantinib</t>
  </si>
  <si>
    <t>CABOMETYX ◊</t>
  </si>
  <si>
    <t>boca plastična, 30 po 20 mg</t>
  </si>
  <si>
    <t>Patheon France - Bourgoin Jallieu; Tjoapack Netherlands B.V.</t>
  </si>
  <si>
    <t>Francuska; Holandija</t>
  </si>
  <si>
    <t>1039731</t>
  </si>
  <si>
    <t>boca plastična, 30 po 40 mg</t>
  </si>
  <si>
    <t>1039732</t>
  </si>
  <si>
    <t>boca plastična, 30 po 60 mg</t>
  </si>
  <si>
    <t>L01XE33</t>
  </si>
  <si>
    <t>palbociklib</t>
  </si>
  <si>
    <t>IBRANCE ◊</t>
  </si>
  <si>
    <t>blister, 21 po 75 mg</t>
  </si>
  <si>
    <t>blister, 21 po 100 mg</t>
  </si>
  <si>
    <t>blister, 21 po 125 mg</t>
  </si>
  <si>
    <t>1039103</t>
  </si>
  <si>
    <t xml:space="preserve">1039104 </t>
  </si>
  <si>
    <t>1039105</t>
  </si>
  <si>
    <t>L01XE42</t>
  </si>
  <si>
    <t>ribociklib</t>
  </si>
  <si>
    <t>KISQALI ◊</t>
  </si>
  <si>
    <t>blister, 63 po 200 mg</t>
  </si>
  <si>
    <t xml:space="preserve">Novartis Pharma Produktions GmbH; Novartis Pharma Stein AG  </t>
  </si>
  <si>
    <t>Nemačka; Švajcarska</t>
  </si>
  <si>
    <t>L01XE43</t>
  </si>
  <si>
    <t>brigatinib</t>
  </si>
  <si>
    <t>ALUNBRIG ◊</t>
  </si>
  <si>
    <t>1039991</t>
  </si>
  <si>
    <t>blister, 56 po 100 mg</t>
  </si>
  <si>
    <t>AstraZeneca AB; AstraZeneca UK Limited</t>
  </si>
  <si>
    <t>Švedska; Velika Britanija</t>
  </si>
  <si>
    <t>1039990</t>
  </si>
  <si>
    <t>blister, 56 po 150 mg</t>
  </si>
  <si>
    <t>1014015</t>
  </si>
  <si>
    <t>L04AA42</t>
  </si>
  <si>
    <t>siponimod</t>
  </si>
  <si>
    <t>MAYZENT</t>
  </si>
  <si>
    <t>blister, 12 po 0,25 mg</t>
  </si>
  <si>
    <t>Novartis Farmaceutica S.A.</t>
  </si>
  <si>
    <t>1014013</t>
  </si>
  <si>
    <t>blister, 120 po 0,25 mg</t>
  </si>
  <si>
    <t>1014014</t>
  </si>
  <si>
    <t>blister, 28 po 2 mg</t>
  </si>
  <si>
    <t>bočica staklena, 1 po 10 mg</t>
  </si>
  <si>
    <t>bočica staklena, 1 po 4 ml (100 mg/4 ml)</t>
  </si>
  <si>
    <t>F. Hoffmann-La Roche Ltd.;
Roche Diagnostics GmbH</t>
  </si>
  <si>
    <t>Švajcarska;
Nemačka</t>
  </si>
  <si>
    <t>bočica staklena, 1 po 16 ml (400 mg/16 ml)</t>
  </si>
  <si>
    <t>blister deljiv na pojedinačne doze, 28 po 12,5 mg</t>
  </si>
  <si>
    <t>blister deljiv na pojedinačne doze, 28 po 25 mg</t>
  </si>
  <si>
    <t>blister deljiv na pojedinačne doze, 28 po 50 mg</t>
  </si>
  <si>
    <t>Wyeth Pharmaceuticals; Pfizer Manufacturing Belgium NV</t>
  </si>
  <si>
    <t>Velika Britanija; Belgija</t>
  </si>
  <si>
    <t>napunjen injekcioni špric, 1 po 0,5 ml (50 mg/0,5 ml)</t>
  </si>
  <si>
    <t>Terapija refrakterne hronične imunološke trombocitopenijske purpure odraslih pacijenata (D69.3):
1. kod kojih je izvršena splenektomija i koji su rezistentni na primenu lekova prve i druge terapijske linije 
2. koji su rezistentni na primenu lekova prve i druge terapijske linije i kod kojih je splenektomija kontraindikovana.</t>
  </si>
  <si>
    <t>STAC; Lek se uvodi u terapiju na osnovu mišljenja tri lekara sledećih zdravstvenih ustanova:
  - Institut za onkologiju i radiologiju Srbije, 
  - Klinika za pulmologiju UKC Srbije, 
  - KBC Bežanijska Kosa, 
  - Institut za plućne bolesti Vojvodine, 
  - Klinika za plućne bolesti  UKC Niš, 
  - UKC Kragujevac, 
  - Vojnomedicinska akademija.</t>
  </si>
  <si>
    <t>STAC; Lek se uvodi u terapiju na osnovu mišljenja tri lekara sledećih zdravstvenih ustanova:
  - Institut za onkologiju i radiologiju Srbije, 
  - Klinika za pulmologiju UKC Srbije, 
  - KBC Bežanijska Kosa, 
  - Institut za plućne bolesti Vojvodine, 
  - Klinika za plućne bolesti UKC Niš, 
  - UKC Kragujevac, 
  - Vojnomedicinska akademija.</t>
  </si>
  <si>
    <t>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</si>
  <si>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</si>
  <si>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</si>
  <si>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</si>
  <si>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Lek se uvodi u terapiju  na osnovu mišljenja  tri lekara  neurologa ili neuropsihijatra Klinike za neurologiju UKCS kod pacijenata koji nisu respiratorno ugroženi.</t>
  </si>
  <si>
    <t>Hronični hepatitis C (B18.2).</t>
  </si>
  <si>
    <t>Hronični hepatitis C- isključivo genotip 1b (B18.2).</t>
  </si>
  <si>
    <t>1. Bolesnici sa hroničnom limfocitnom leukemijom (HLL) sa delecijom 17p/TP53 mutacijom, novootkriveni ili prethodno lečeni.
2. Bolesnici sa relapsirajućom/refraktornom HLL koji nisu postigli odgovor na primenjenu terapiju ili je došlo do ranog relapsa (relaps u okviru 36 meseci od započinjanja terapije).
3. Bolesnici sa relapsirajućom/refraktorom HLL koji su primili ≥2 terapijske linije, a imaju dobro opšte funkcionalno stanje (PS-ECOG 0 i 1).
4. Bolesnici sa mantle cell ćelijskim limfomom koji su refraktorni ili su relapsirali posle najmanje jedne prethodno primenjene terapijske linije, a imaju dobro opšte funkcionalno stanje (PS ECOG 0 i 1, CIRS &lt; 6).</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</si>
  <si>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</si>
  <si>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</si>
  <si>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</si>
  <si>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Lek se uvodi u terapiju na osnovu mišljenja Komisije RFZO, a na osnovu mišljenja tri lekara sledećih zdravstvenih ustanova:
  - Institut za onkologiju i radiologiju Srbije, 
  - Klinika za urologiju UKCS, 
  - Institut za onkologiju Vojvodine, 
  - Klinika za onkologiju UKC Niš,
  - Vojnomedicinska akademija,
  - KBC Zemun.</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</si>
  <si>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  </t>
  </si>
  <si>
    <t>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Procena efekta lečenja i odluka o nastavku primene terapije donosi se na šest meseci na osnovu mišljenja tri lekara zdravstvenih ustanova u kojima se lek uvodi u terapiju.</t>
  </si>
  <si>
    <t xml:space="preserve">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Procena efekta lečenja i odluka o nastavku primene terapije donosi se na šest meseci na osnovu mišljenja tri lekara zdravstvenih ustanova u kojima se lek uvodi u terapiju.</t>
  </si>
  <si>
    <t xml:space="preserve"> Za lečenje lokalno uznapredovalog ili metastatskog karcinoma dojke, pozitivnog na hormonski receptor (HR) i negativnog na receptor humanog epidermalnog faktora rasta 2 (HER2):
- početna endokrina terapija u kombinaciji sa inhibitorom aromataze,
 -u drugoj liniji u kombinaciji sa fulvestrantom kod žena koje su  prethodno primale endokrinu terapiju.
(C50)</t>
  </si>
  <si>
    <t>Za lečenje lokalno uznapredovalog ili metastatskog karcinoma dojke, pozitivnog na hormonski receptor (HR) i negativnog na receptor humanog epidermalnog faktora rasta 2 (HER2):
- početna endokrina terapija u kombinaciji sa inhibitorom aromataze,
- u drugoj liniji u kombinaciji sa fulvestrantom kod žena koje su prethodno primale endokrinu terapiju. (C50)</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</si>
  <si>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 </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</si>
  <si>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t>
  </si>
  <si>
    <t>Terapija odraslih pacijenata sa sekundarno progresivnom multiplom sklerozom (SPMS) sa aktivnom bolešću koja je potvrđena relapsima ili nalazima zapaljenske aktivnosti na snimcima (imidžing).</t>
  </si>
  <si>
    <t>Lek se uvodi u terapiju na osnovu mišljenja tri lekara sledećih zdravstvenih ustanova:
- Institut za onkologiju i radiologiju Srbije,
- KBC Bežanijska Kosa,
- Klinika za onkologiju UKC Niš,
- Institut za onkologiju Vojvodine,
- UKC Kragujevac,
- Vojnomedicinska akademija uz učešće stručnjaka iz oblasti karcinoma dojke sa Instituta za onkologiju i radiologiju Srbije ili KBC Bežanijska Kosa,
 - KBC Zemun.</t>
  </si>
  <si>
    <t>blister, 28 po 90 mg</t>
  </si>
  <si>
    <t xml:space="preserve"> 1. Hronični HEPATITIS C sa ili bez kompenzovane ciroze jetre uzrokovane virusom hepatitisa C koji treba da zadovoljavaju sledeće kriterijume:
     a. virusološki profil:
           - anti HCV antitela pozitivna u serumu najkraće 6 meseci, 
           - pozitivan HCV RNK i određen genotip virusa;
     b. biohemijski nalaz: 
        - bez fibroze: povišena aktivnost transaminaza ili 
        - sa fibrozom: bez povišene aktivnosti transaminaza;
     c. histološki dokazano hronično zapaljenje jetre (nekroinflamatorna aktivnost sa ili bez fibroza);    
     d. bolesnici kojima nije rađena biopsija jetre zbog kontraindikacije, a ispunjavaju sve ostale uslove;
     e. bolesnici koji apstiniraju od i.v. droga i alkohola, najmanje 12 meseci uz potvrdu neuropsihijatra/psihijatra; 
     f. isključiti bolesnike sa prisutnim kontraindikacijama na terapiju pegilovanim interferonom i ribavirinom.Terapijski protokol: prema kriterijumima za lеčenje hroničnih oboljenja jetre (hroničnog hepatitisa i kompenzovane ciroze jetre) uzrokovanih virusom hepatitisa C (HCV) kombinovanom terapijom (pegilovani interferon alfa + ribavirin). Trajanje terapije zavisi od genotipa virusa kao i od terapijskog odgovora koji se proverava u 4., 12. i 24. nedelji lečenja. Viremija se proverava 24. i 72. nedelje od završteka lečenja.
 2. Hronični hepatitis B  za pacijente kod kojih je: 
   a.  HBsAg pozitivnost duža od 6 meseci;
   b. povišena aktivnost alaninaminotransferaze  (ALT povišena &gt;2,5 odnosno &gt;100 IU/ml);
   c. hronični hepatitis, sa ili bez fibroze;
   d. viremija (HBV DNK) ≤ 10⁷ kopija /ml krvi.</t>
  </si>
  <si>
    <t>1. Karcinom kolorektuma: 
    a) metastatska bolest, posle hemioterapije na bazi oksaliplatine i irinotekana, isključivo za pacijente sa tumorima koji sadrže nemutirani K/Ras gen, PS 0 ili 1, kao monoterapija ili u kombinaciji sa irinotekanom;
   b) terapija pacijenata sa RAS wild-type metastatskim  kolorektalnim karcinomom koji eksprimiraju receptore za epidermalni faktor rasta (EGFR) kao prva linija terapije u kombinaciji sa FOLFOX-om ili sa hemioterapijom na bazi irinotekana;
2. Planocelularni karcinom glave i vrata:
    a) istovremeno sa radioterapijom kod pacijenata sa PS 0 ili 1 u lokalno uznapredovalom, inoperabilnom planocelularnom karcinomu usne duplje i orofarinksa, kod kojih je lečenje započeto indukcionom hemioterapijom;
    b) lokalno uznapredovala, inoperabilna bolest, u kombinaciji sa radioterapijom, PS 0 ili 1, u pacijenata kod kojih je kontraindikovana primena lekova na bazi platine;
    c) u kombinaciji sa standardnom hemioterapijom (5FU-cisplatin ili 5FU-karboplatin) prva linija za rekurentni planocelularni karcinom glave i vrata koji nije podoban za lokoregionalni tretman, bez egzulceracije, PS 0-1.</t>
  </si>
  <si>
    <t xml:space="preserve">Karcinom kolorektuma:
a) metastatska bolest, posle hemioterapije na bazi oksaliplatine i irinotekana, isključivo za pacijente sa tumorima koji sadrže nemutirani K/Ras gen, PS 0 ili 1, kao monoterapija.
b) lečenje odraslih pacijenata sa metastatskim kolorektalnim karcinomom (mCRC) sa divljim tipom RAS gena, kao prva linija terapije u kombinaciji sa FOLFOX ili FOLFIRI hemioterapijskim režimom. </t>
  </si>
  <si>
    <t>Karcinom dojke:
a) neoadjuvantno lečenje tokom 4 ciklusa u kombinaciji sa trastuzumabom i taksanskom hemioterapijom pacijenata sa HER2-pozitivnim, lokalno uznapredovalim, inflamatornim ili karcinomom dojke u ranom stadijumu sa visokim rizikom od recidiva, a nakon prethodne sekvencijalne primene antraciklina. Kod ove grupe pacijenata lečenje se nastavlja ordiniranjem trastuzumaba u adjuvantnom tretmanu, nakon operacije, do ukupno godinu dana, računajući i primenu trastuzumaba u neoadjuvantnom pristupu.
b) metastatski HER2- pozitivni rak dojke- PS 0 ili 1, prva terapijska linija za metastatsku bolest, u kombinaciji sa trastuzumabom i docetakselom (6-8 ciklusa), a potom u odsustvu progresije bolesti, nastaviti sa pertuzumabom u kombinaciji sa  trastuzumabom do progresije bolesti
c) Rani stadijum HER2 pozitivnog karcinoma dojke sa visokim rizikom od relapsa definisanim kao karcinom dojke sa pozitivnim limfnim čvorovima, u kombinaciji sa trastuzumabom i hemioterapijom , bez obzira na vrstu inicijalnog lečenja ( inicijalno hiruško lečenje ili neoadjuvantna terapija praćena hiruškim lečenjem), u trajanju do ukupno godinu dana od prve aplikacije anti-HER2 terapije.</t>
  </si>
  <si>
    <t>1. 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
2. Lečenje pacijenata sa progresivnim, lokalno uznapredovalim ili metastaziranim, diferenciranim (papilarne/folikularne Hurthe-ijeve ćelije) karcinomom tireoidne žlezde koji ne reaguju na terapiju radioaktivnim jodom.</t>
  </si>
  <si>
    <t>Za indikaciju pod tačkom 1. odobrava se primena terapije za 2 meseca, nakon čega se sprovodi provera efikasnosti terapije.
Za indikaciju pod tačkom 1. lek se uvodi u terapiju na osnovu mišljenja Komisije RFZO, a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Za indikaciju pod tačkom 2. lek se uvodi u terapiju na osnovu mišljenja tri lekara zdravstvene ustanove koja obavlja zdravstvenu delatnost na teracijarnom nivou zdravstvene zaštite.</t>
  </si>
  <si>
    <t xml:space="preserve">  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Klinika za hematologiju i kliničku imunologiju UKC Niš, 
 -  UKC Kragujevac,
 - Vojnomedicinska akademija,
 - KBC Zemun.</t>
  </si>
  <si>
    <t>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UKC Kragujevac, 
 - Vojnomedicinska akademija,
 -  Klinika za hematologiju i kliničku imunologiju UKC Niš,
 -  Univerzitetska dečja klinika,
 -   Institut za zdravstvenu zaštitu majke i deteta Srbije „Dr Vukan Čupić”,
 - Institut za zdravstvenu zaštitu dece i omladine Vojvodine,
 - Klinika za dečje interne bolesti UKC Niš,
 - KBC Zemun.</t>
  </si>
  <si>
    <t>0034460</t>
  </si>
  <si>
    <t>PEMETREXED ACCORD ◊</t>
  </si>
  <si>
    <t>Accord Healthcare Limited; Accord Healthcare Polska SP. Z.O.O.</t>
  </si>
  <si>
    <t>Velika Britanija; Poljska</t>
  </si>
  <si>
    <t>Corden Pharma Latina S.P.A.</t>
  </si>
  <si>
    <t>STAC; Lek se uvodi u terapiju na osnovu mišljenja tri lekara sledećih zdravstvenih ustanova:
  - Institut za onkologiju i radiologiju Srbije, 
  - Klinika za hematologiju UKC Srbije, a na osnovu čijeg mišljenja se lek može primenjivati i u KBC Zvezdara,
  - Univerzitetska dečja klinika, 
  - Institut za onkologiju Vojvodine, 
  - Klinika za hematologiju UKC Vojvodine, 
  - Klinika za hematologiju i kliničku imunologiju UKC Niš, 
  - UKC Kragujevac, 
  - Institut za zdravstvenu zaštitu majke i deteta Srbije „Dr Vukan Čupić”, 
  - Institut za zdravstvenu zaštitu  dece i omladine Vojvodine, 
  - Klinika za dečje interne bolesti UKC Niš,
  - Vojnomedicinska akademija,
  - KBC Zemun.</t>
  </si>
  <si>
    <t>Lek se uvodi u terapiju na osnovu mišljenja Komisije RFZO, a na osnovu mišljenja tri lekara sledećih zdravstvenih ustanova:
- Institut za onkologiju i radiologiju Srbije,
- Klinika za hematologiju UKC Srbije, a na osnovu čijeg mišljenja se lek može primenjivati i u KBC Zvezdara,
- KBC Bežanijska Kosa,
- Klinika za hematologiju UKC Vojvodine,
- Institut za onkologiju Vojvodine,
- Klinika za hematologiju i kliničku imunologiju UKC Niš,
- Klinika za onkologiju UKC Niš,
- UKC Kragujevac,
- Vojnomedicinska akademija,
- KBC Zemun.</t>
  </si>
  <si>
    <t xml:space="preserve">STAC; Za indikaciju pod tačkom 1., 2. i 4.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
 Za indikaciju pod tačkom 3. lek se uvodi u terapiju na osnovu mišljenja Komisije RFZO. </t>
  </si>
  <si>
    <t>STAC; Lek se uvodi u terapiju na osnovu mišljenja tri lekara sledećih zdravstvenih ustanova: 
- Institut za onkologiju i radiologiju Srbije, 
- Klinika za hematologiju UKC Srbije, a na osnovu čijeg mišljenja se lek može primenjivati i u KBC Zvezdara,
- KBC Bežanijska Kosa, 
- Klinika za hematologiju UKC Vojvodine, 
- Institut za onkologiju Vojvodine, 
- Klinika za hematologiju i kliničku imunologiju UKC Niš, 
- Klinika za onkologiju UKC Niš, 
- Klinika za hematologiju UKC Kragujevac,
-Vojnomedicinska akademija,
- KBC Zemun.</t>
  </si>
  <si>
    <t>STAC;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t>
  </si>
  <si>
    <t>STAC;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t>
  </si>
  <si>
    <t xml:space="preserve">STAC; Za indikaciju pod tačkom 1., 2. i 4.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
 Za indikaciju pod tačkom 3. lek se uvodi u terapiju na osnovu mišljenja Komisije RFZO. </t>
  </si>
  <si>
    <t>L01FD01</t>
  </si>
  <si>
    <t>0039371</t>
  </si>
  <si>
    <t>Biotec Services International Limited;
Millmount Healthcare Ltd.</t>
  </si>
  <si>
    <t>Velika Britanija; 
Irska</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</si>
  <si>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trastuzumaba u kombinaciji sa taksanskom hemioterapijom tokom 4 ciklusa a nakon prethodne sekvencijalne primene antraciklina. Kod ove grupe nastavak primene trastuzumaba u adjuvantnom tretmanu, nakon operacije, do ukupno godinu dana, računajući i primenu trastuzumaba u neoadjuvantnom pristupu.</t>
  </si>
  <si>
    <t>0039391</t>
  </si>
  <si>
    <t>TRAZIMERA ◊</t>
  </si>
  <si>
    <t>Pfizer Manufacturing Belgium NV</t>
  </si>
  <si>
    <t>0039392</t>
  </si>
  <si>
    <t>STAC; Za indikaciju pod tačkom 1. lek se uvodi u terapiju na osnovu mišljenja tri lekara sledećih zdravstvenih ustanova:
  - Institut za onkologiju i radiologiju Srbije, 
  - Klinika za gastroenterologiju UKC Srbije, 
  - KBC Bežanijska Kosa, 
  - Institut za onkologiju Vojvodine, 
  - UKC Niš, 
  - UKC Kragujevac,
  - Vojnomedicinska akademija,
  - KBC Zemun.
 Za  indikaciju pod tačkom 2. lek se uvodi u terapiju na osnovu mišljenja tri lekara sledećih zdravstvenih ustanova:
  - Institut za onkologiju i radiologiju Srbije, 
  - Institut za onkologiju Vojvodine, 
  - Klinika za onkologiju UKC Niš, 
  - UKC Kragujevac,
  - Vojnomedicinska akademija.
Za indikaciju pod tačkom 1. nastavak terapije u  zdravstvenim ustanovama koje obavljaju zdravstvenu delatnost na tercijarnom nivou, a po potrebi i u zdravstvenim ustanovama koje obavljaju zdravstvenu delatnost na sekundarnom nivou na osnovu mišljenja tri lekara zdravstvenih ustanova u kojima se lek uvodi u terapiju a koje nije starije od šest meseci, prema mestu prebivališta osiguranog lica.</t>
  </si>
  <si>
    <t>STAC; Za indikaciju pod tačkom 1.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Za indikaciju pod tačkom 2. Lek se uvodi u terapiju na osnovu mišljenja Komisije RFZO, a na osnovu mišljenja tri lekara sledećih zdravstvenih ustanova:
  - Institut za onkologiju i radiologiju Srbije,
  - KBC Bežanijska Kosa,
  - Institut za onkologiju Vojvodine,
  - Klinika za onkologiju UKC Niš,
  - UKC Kragujevac,
  - KBC Zemun.
Za indikaciju pod tačkom 1. nastavak terapije u  zdravstvenim ustanovama koje obavljaju zdravstvenu delatnost na tercijarnom nivou, a po potrebi i u zdravstvenim ustanovama koje obavljaju zdravstvenu delatnost na sekundarnom nivou na osnovu mišljenja tri lekara zdravstvenih ustanova u kojima se lek uvodi u terapiju a koje nije starije od šest meseci, prema mestu prebivališta osiguranog lica.</t>
  </si>
  <si>
    <t>0039431</t>
  </si>
  <si>
    <t>L01FG01</t>
  </si>
  <si>
    <t>OYAVAS ◊</t>
  </si>
  <si>
    <t>GH Genhelix S.A.</t>
  </si>
  <si>
    <t>1.Lečenje pacijenata sa mCRC, PS 0 ili 1, u prvoj liniji lečenja, uz hemioterapiju koja sadrži fluoropirimidine.
2. OYAVAS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</si>
  <si>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0039430</t>
  </si>
  <si>
    <t>bočica staklena, 1 po 16 ml (25mg/ml)</t>
  </si>
  <si>
    <t>STAC; Lek se uvodi u terapiju na osnovu mišljenja tri lekara sledećih zdravstvenih ustanova:
  - Institut za onkologiju i radiologiju Srbije, 
  - Klinika za gastroenterologiju UKC Srbije, 
  - KBC Bežanijska Kosa, 
  - Institut za onkologiju Vojvodine, 
  - UKC Niš, 
  - UKC Kragujevac,
  - Vojnomedicinska akademija,
 - KBC Zemun.
Nastavak terapije u  zdravstvenim ustanovama koje obavljaju zdravstvenu delatnost na tercijarnom nivou, a po potrebi i u zdravstvenim ustanovama koje obavljaju zdravstvenu delatnost na sekundarnom nivou na osnovu mišljenja tri lekara zdravstvenih ustanova u kojima se lek uvodi u terapiju a koje nije starije od šest meseci, prema mestu prebivališta osiguranog lica.</t>
  </si>
  <si>
    <t>Lek se uvodi u terapiju na osnovu mišljenja Komisije RFZO, a na osnovu mišljenja tri lekara sledećih zdravstvenih ustanova:
 -  Institut za onkologiju i radiologiju Srbije,
 -  Klinika za hematologiju UKC Srbije,a na osnovu čijeg mišljenja se lek može primenjivati i u KBC Zvezdara,
 -  KBC Bežanijska Kosa, 
 -  Klinika za hematologiju UKC Vojvodine, 
 -  Institut za onkologiju Vojvodine, 
 -  Klinika za hematologiju i kliničku imunologiju UKC Niš, 
 -  Klinika za onkologiju UKC Niš,
 -  UKC Kragujevac,
 - Vojnomedicinska akademija,
 - KBC Zemun.</t>
  </si>
  <si>
    <t>STAC; 
Za indikaciju pod tačkom 1. lek se uvodi u terapiju na osnovu mišljenja Komisije RFZO, a na osnovu mišljenja tri lekara sledećih zdravstvenih ustanova:
  - Institut za onkologiju i radiologiju Srbije, 
  - Klinika za hematologiju UKC Srbije, a na osnovu čijeg mišljenja se lek može primenjivati i u KBC Zvezdara,
  - KBC Bežanijska Kosa, 
  - Institut za onkologiju Vojvodine, 
  - Klinika za hematologiju UKC Vojvodine, 
  - Klinika za hematologiju i kliničku imunologiju UKC Niš, 
  - Klinika za onkologiju UKC Niš, 
  - UKC Kragujevac,
  - Vojnomedicinska akademija,
  - KBC Zemun.
Za indikaciju pod tačkom 2. lek se uvodi u terapiju na osnovu mišljenja tri lekara sledećih zdravstvenih ustanova:
- Institut za onkologiju i radiologiju Srbije, 
- Klinika za hematologiju UKC Srbije, a na osnovu čijeg mišljenja se lek može primenjivati i u KBC Zvezdara,
- KBC Bežanijska Kosa, 
- Klinika za hematologiju UKC Vojvodine, 
- Institut za onkologiju Vojvodine, 
- Klinika za hematologiju i kliničku imunologiju UKC Niš, 
- Klinika za onkologiju UKC Niš, 
- UKC Kragujevac, 
- Vojnomedicinska akademija,
- KBC Zemun.</t>
  </si>
  <si>
    <t>L01FF02</t>
  </si>
  <si>
    <t>0.25 g</t>
  </si>
  <si>
    <t>1039555</t>
  </si>
  <si>
    <t>GEFITINIB CORAPHARM ◊</t>
  </si>
  <si>
    <t>Synthon Hispania, S.L.</t>
  </si>
  <si>
    <t>1039560</t>
  </si>
  <si>
    <t>SPIRTOS ◊</t>
  </si>
  <si>
    <t>Stada Arzneimittel AG;
Stadapharm GmbH</t>
  </si>
  <si>
    <t>Nemačka;
Nemačka</t>
  </si>
  <si>
    <t>0,15 g</t>
  </si>
  <si>
    <t>1039420</t>
  </si>
  <si>
    <t>ERLOTINIB MYLAN ◊</t>
  </si>
  <si>
    <t>1039421</t>
  </si>
  <si>
    <t>33 mg</t>
  </si>
  <si>
    <t>Lek se uvodi u terapiju na osnovu mišljenja Komisije RFZO, a na osnovu mišljenja tri lekara sledećih zdravstvenih ustanova:
  - Institut za onkologiju i radiologiju Srbije, 
  - Klinika za urologiju UKCS, 
  - KBC Bežanijska Kosa,
  - Institut za onkologiju Vojvodine, 
  - Klinika za onkologiju UKC Niš,
  - UKC Kragujevac,
  - Vojnomedicinska akademija,
  - KBC Zemun.</t>
  </si>
  <si>
    <t>SUNITINIB SANDOZ ◊</t>
  </si>
  <si>
    <t>blister, 28 po 12,5 mg</t>
  </si>
  <si>
    <t>Lek Farmacevtska      Družba d.d.</t>
  </si>
  <si>
    <t>SUNITINIB  SANDOZ ◊</t>
  </si>
  <si>
    <t>Lek Farmacevtska     Družba d.d.</t>
  </si>
  <si>
    <t>blister, 28 po 50 mg</t>
  </si>
  <si>
    <t>Lek Farmacevtska            Družba d.d.</t>
  </si>
  <si>
    <t>1039746</t>
  </si>
  <si>
    <t>L01EX01</t>
  </si>
  <si>
    <t>NERSAN ◊</t>
  </si>
  <si>
    <t>blister, 28 po 37,5 mg</t>
  </si>
  <si>
    <t>Remedica LTD; Pharmacare Premium LTD; Stadapharm GmbH</t>
  </si>
  <si>
    <t>Kipar;
Malta;
Nemačka</t>
  </si>
  <si>
    <t>1039744</t>
  </si>
  <si>
    <t>MISVENOL ◊</t>
  </si>
  <si>
    <t>Pharmacare Premium Ltd; Genepharm SA</t>
  </si>
  <si>
    <t>Malta; Grčka</t>
  </si>
  <si>
    <t>0.8 g</t>
  </si>
  <si>
    <t xml:space="preserve">SORAFENIB TEVA ◊ </t>
  </si>
  <si>
    <t>Merckle GmbH; 
Pliva Hrvatska d.o.o.;
Teva Operations Poland SP.Z.O.O.;
Teva Pharma B.V.</t>
  </si>
  <si>
    <t>Nemačka; Hrvatska; Poljska; Holandija</t>
  </si>
  <si>
    <t>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t>
  </si>
  <si>
    <t>Odobrava se primena terapije za 2 meseca, nakon čega se sprovodi provera efikasnosti terapije.
Lek se uvodi u terapiju na osnovu mišljenja Komisije RFZO, a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t>
  </si>
  <si>
    <t>1039141</t>
  </si>
  <si>
    <t>L01EX02</t>
  </si>
  <si>
    <t xml:space="preserve">SALTAPSA ◊ </t>
  </si>
  <si>
    <t>Pharmacare Premium Ltd.;
Genepharm SA</t>
  </si>
  <si>
    <t>Malta;
Grčka</t>
  </si>
  <si>
    <t>SORAFENIB S.K. ◊</t>
  </si>
  <si>
    <t>Pharmacare Premium LTD.;
Genepharm SA</t>
  </si>
  <si>
    <t>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Klinika za hematologiju i kliničku imunologiju UKC Niš, 
 -  UKC Kragujevac,
 - Vojnomedicinska akademija,
 - Univerzitetska dečja klinika,
 - Institut za zdravstvenu zaštitu majke i deteta Srbije „Dr Vukan Čupić”,
 - Institut za zdravstvenu zaštitu dece i omladine Vojvodine,
 - KBC Zemun.</t>
  </si>
  <si>
    <t xml:space="preserve">     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Klinika za hematologiju i kliničku imunologiju UKC Niš, 
 -  UKC Kragujevac,
 - Vojnomedicinska akademija,
 - KBC Zemun.</t>
  </si>
  <si>
    <t>Takeda Austria GmbH</t>
  </si>
  <si>
    <t>Lek se uvodi u terapiju na osnovu mišljenja tri lekara sledećih zdravstvenih ustanova:
  - Klinika za hematologiju UKC Srbije, a na osnovu čijeg mišljenja se lek može primenjivati i u KBC Zvezdara,
  - Univerzitetska dečja klinika, 
  - Klinika za hematologiju UKC Vojvodine,
  - Klinika za hematologiju i kliničku imunologiju UKC Niš, 
  - UKC Kragujevac, 
  - Institut za zdravstvenu zaštitu majke i deteta Srbije „Dr Vukan Čupić”, 
  - Institut za decu i omladinu Vojvodine, 
  - Klinika za dečje interne bolesti UKC Niš, 
  - KBC Bežanijska Kosa,
  - Vojnomedicinska akademija,
  - KBC Zemun.</t>
  </si>
  <si>
    <t>ABIRATERON CORAPHARM ◊</t>
  </si>
  <si>
    <t>bočica plastična, 120 po 250 mg</t>
  </si>
  <si>
    <t>Synthon Hispania, SL;
Synthon BV</t>
  </si>
  <si>
    <t>Španija;
Holandija</t>
  </si>
  <si>
    <t>blister, 60 po 500 mg</t>
  </si>
  <si>
    <t xml:space="preserve">FUJIFILM Diosynth Biotechnologies Denmark ApS; Biogen Netherlands B.V. </t>
  </si>
  <si>
    <t>Danska; Holandija</t>
  </si>
  <si>
    <t>1014076</t>
  </si>
  <si>
    <t>FINGOLIMOD TEVA</t>
  </si>
  <si>
    <t>blister deljiv na pojedinačne doze, 28 po 0,5 mg</t>
  </si>
  <si>
    <t>Balkanpharm-Dupnitsa AD</t>
  </si>
  <si>
    <t>Bugarska</t>
  </si>
  <si>
    <t>FILIVAL</t>
  </si>
  <si>
    <t>ESTRELA</t>
  </si>
  <si>
    <t>Bluepharma - Industria Farmaceutica S.A.</t>
  </si>
  <si>
    <t>Portugalija</t>
  </si>
  <si>
    <t>0.5 mg</t>
  </si>
  <si>
    <t xml:space="preserve"> Pfizer Manufacturing Belgium NV</t>
  </si>
  <si>
    <t xml:space="preserve"> Belgija</t>
  </si>
  <si>
    <t>0014321</t>
  </si>
  <si>
    <t>ERELZI</t>
  </si>
  <si>
    <t>napunjen injekcioni špric, 4 po 0.5mL (25mg/0.5mL)</t>
  </si>
  <si>
    <t>Sandoz GmbH -  Betriebsstatte/Manufacturing Site Aseptics Drug Product Schaftenau (Aseptics DPS)</t>
  </si>
  <si>
    <t>0014322</t>
  </si>
  <si>
    <t>napunjeni injekcioni pen, 4 po 1mL (50mg/mL)</t>
  </si>
  <si>
    <t>0014209</t>
  </si>
  <si>
    <t>0014421</t>
  </si>
  <si>
    <t>napunjen injekcioni pen, 2 po 1 ml (150mg)</t>
  </si>
  <si>
    <t>Lenalidomid u kombinaciji sa deksametazonom je indikovan za tretman multiplog mijeloma kod odraslih pacijenata koji su već primili najmanje jednu prethodnu terapiju, kod pacijenata kod kojih se ne može primeniti lečenje sa talidomidom i bortezomibom.</t>
  </si>
  <si>
    <t>Lek se uvodi u terapiju na osnovu mišljenja Komisije RFZO, a na osnovu mišljenja tri lekara sledećih zdravstvenih ustanova:
  - Institut za onkologiju i radiologiju Srbije, 
  - Klinika za hematologiju UKC Srbije, a na osnovu čijeg mišljenja se lek može primenjivati i u KBC Zvezdara,
  - KBC Bežanijska Kosa, 
  - Institut za onkologiju Vojvodine, 
  - Klinika za hematologiju UKC Vojvodine, 
  - Klinika za hematologiju i kliničku imunologiju UKC Niš, 
  - Klinika za onkologiju UKC Niš, 
  - UKC Kragujevac,
  - Vojnomedicinska akademija,
  - KBC Zemun.</t>
  </si>
  <si>
    <t>1014026</t>
  </si>
  <si>
    <t>MUNDUS ◊</t>
  </si>
  <si>
    <t>Pharmadox Healthcare Ltd.;
Stada Arzneimittel AG</t>
  </si>
  <si>
    <t>Malta;
Nemačka</t>
  </si>
  <si>
    <t>1014027</t>
  </si>
  <si>
    <t>1014028</t>
  </si>
  <si>
    <t>1014029</t>
  </si>
  <si>
    <t>EUlen ◊</t>
  </si>
  <si>
    <t>Synthon BV; Synthon Hispania, SL</t>
  </si>
  <si>
    <t>Holandija; Španija</t>
  </si>
  <si>
    <t>LENALIDOMIDE GRINDEKS ◊</t>
  </si>
  <si>
    <t>AS Grindeks</t>
  </si>
  <si>
    <t>Letonija</t>
  </si>
  <si>
    <t>Novartis Pharma  Stein AG; Laboratori Fundacio Dau</t>
  </si>
  <si>
    <t>Švajcarska; Španija</t>
  </si>
  <si>
    <t>L04AX07</t>
  </si>
  <si>
    <t>Amgen Europe B.V.
Amgen Technology (Ireland) Unlimited Company</t>
  </si>
  <si>
    <t>Holandija,
Irska</t>
  </si>
  <si>
    <t xml:space="preserve"> 1. Maligni pleuralni mezoteliom, uznapredovala neresektabilna bolest, PS 0 ili 1.
 2. U kombinaciji sa pembrolizumabiom i hemioterapijom koja sadrži platinu indikovan je za prvu liniju lečenja metastatskog neskvamoznog nesitnoćelijskog karcinoma pluća kod odraslih čiji tumori nisu pozitivni na mutacije gena EGFR ili ALK, čiji tumori eksprimiraju PD-L1 sa TPS 1% - 49% (C34).</t>
  </si>
  <si>
    <t>kabazitaksel</t>
  </si>
  <si>
    <t xml:space="preserve">1. Lečenje uznapredovalog (neresektabilnog ili metastatskog)  melanoma, kao monoterapija PS 0-1 (C43).
2. Druga terapijska linija metastatskog ili uznapredovalog, svetloćelijskog karcinoma bubrega, dobre ili srednje prognoze, PS 0-1 (C64).
3. Adjuvantno lečenje pacijenata sa melanomom, sa zahvaćenim limfnim čvorovima ili metastazama, koji su prethodno podvrgnuti potpunoj resekciji (stadijum III) (C43). </t>
  </si>
  <si>
    <t>Za indikaciju pod tačkom 1. 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 i 3.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
Za indikaciju pod tačkom 2. lek se uvodi u terapiju na osnovu mišljenja Komisije RFZO, a na osnovu mišljenja tri lekara sledećih zdravstvenih ustanova:
  - Institut za onkologiju i radiologiju Srbije, 
  - Klinika za urologiju UKCS, 
  - Institut za onkologiju Vojvodine, 
  - Klinika za onkologiju UKC Niš,
  - Vojnomedicinska akademija,
  - KBC Zemun.</t>
  </si>
  <si>
    <t>1.Lečenje pacijenata sa metastatskim kolorektalnim karcinomom (mCRC), PS 0 ili 1, u prvoj liniji lečenja, uz hemioterapiju koja sadrži fluoropirimidine.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
3. Terapija odraslih pacijenata  sa uznapredovalim ili neresektabilnim hepatocelularnim karcinomom (hepatocellular carcinoma, HCC) koji prethodno nisu primali sistemsku terapiju, u kombinaciji sa lekom atezolizumab (C22.0).
4. Prva linija lečenja metastatskog neskvamoznog nesitnoćelijskog karcinoma pluća, u kombinaciji sa atezolizumabom, paklitakselom i karboplatinom, kod odraslih čiji tumori nisu pozitivni na mutacije gena EGFR ili ALK. I sa vrednostima PD-L1 ekspresije od 1-49%.(PS 0 ili 1) (C34).</t>
  </si>
  <si>
    <t>F.Hoffman-LA Roche LTD</t>
  </si>
  <si>
    <t>1. Karcinom dojke, kao monoterapija za lečenje odraslih pacijenata HER2 pozitivnim, neresektabilnim, lokalno uznapredovalim ili metastatskim karcinomom dojke sa PS 0-1, koji su prethodno obavezno  primali trastuzumab i taksan odvojeno ili u kombinaciji, a moguće i pertuzumab i/ili lapatinib (C50)
Pacijenti bi trebalo da su: 
- primali prethodnu terapiju za lokalno uznapredovalu ili metastatsku bolest, ili 
- dobili relaps bolesti tokom ili u roku od šest meseci od završetka ajduvantne terapije trastuzumabom.
2. Adjuvantno lečenje odraslih pacijenata sa HER2 pozitivnim ranim karcinomom dojke koji imaju rezidualnu invanzivnu bolest, koja zahvata dojku i/ili limfne čvorove, nakon neoadjuvantne terapije zasnovane na taksanu i ciljane HER2 terapije (C50)</t>
  </si>
  <si>
    <t>Organon Heist B.V.</t>
  </si>
  <si>
    <t xml:space="preserve">1.Lečenje uznapredovalog (neresektabilnog ili metastatskog)  melanoma, kao monoterapija PS 0-1  (C43). 
2.Kao monoterapija za prvu liniju terapije metastatskog nesitnoćelijskog karcinoma pluća kod odraslih pacijenata čiji tumori eksprimiraju PD-L1 sa TPS≥ 50% i koji nisu pozitivni na tumorske mutacije gena EGFR ili ALK, a imaju ECOG status 0-1  (C34).
3. Prva linija lečenja metastatskog neskvamoznog nesitnoćelijskog karcinoma pluća, u kombinaciji sa pemetreksedom i hemioterapijom koja sadrži platinu, kod odraslih čiji tumori nisu pozitivni na mutacije gena EGFR ili ALK i sa vrednostima PD-L1 ekspresije od 1-49% (PS 0 ili 1) (C34).
4. Adjuvantno lečenje pacijenata sa melanomom, sa zahvaćenim limfnim čvorovima ili metastazama, koji su prethodno podvrgnuti potpunoj resekciji (stadijum III) (C43).
5. Za lečenje odraslih pacijenata sa lokalno uznapredovalim ili ranim trostruko negativnim karcinomom dojke s visokim rizikom od recidiva u kombinaciji sa hemioterapijom za neoadjuvantno lečenje, a zatim u nastavku kao monoterapija u adjuvantnom lečenju nakon hirurškog zahvata (C50).
6.Za lečenje lokalno rekurentnog neresektabilnog ili metastatskog trostruko negativnog karcinoma dojke kod odraslih čiji tumori eksprimiraju PD L1 sa CPSom ≥10 i koji prethodno nisu primili hemioterapiju za metastatsku bolest je u kombinaciji sa hemioterapijom (C50). </t>
  </si>
  <si>
    <t>Za indikaciju pod tačkom 1, 2. i 3.  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1.i 4.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
Za indikaciju pod tačkom 2. i 3. 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
Za indikaciju pod tačkom 5. i 6.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</si>
  <si>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L01EC01</t>
  </si>
  <si>
    <t xml:space="preserve"> F.Hoffmann-La Roche LTD</t>
  </si>
  <si>
    <t xml:space="preserve"> Švajcarska</t>
  </si>
  <si>
    <t>Novartis Pharma GmbH, Lek Pharmaceuticals d.d., Glaxo Wellcome S.A.</t>
  </si>
  <si>
    <t>Nemačka; Slovenija; Španija</t>
  </si>
  <si>
    <t>1.Sistemsko lečenje pacijenata sa uznapredovalim i/ili metastatskim BRAF pozitivnim melanomom kože PS 0-1(C43)
2.Adjuvatno lečenje pacijenata sa melanomom stadijuma III sa BRAF V600 mutacijom, nakon potpune resekcije, u kombinaciji sa trametinibom (C43)</t>
  </si>
  <si>
    <t>Za indikaciju pod tačkom 1. 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 i 2.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</si>
  <si>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Novartis Pharma GmbH; Lek Pharmaceuticals d.d.</t>
  </si>
  <si>
    <t>1. U kombinaciji sa Tafinlarom, u sistemskom lečenju pacijenata sa uznapredovalim i/ili metastatskim BRAF pozitivnim melanomom kože PS 0-1 (C43).
2. Adjuvatno lečenje pacijenata sa melanomom stadijuma III sa BRAF V600 mutacijom, nakon potpune resekcije, u kombinaciji sa dabrafenibom (C43).</t>
  </si>
  <si>
    <t>L01EB04</t>
  </si>
  <si>
    <t xml:space="preserve">
1. Lečenje odraslih pacijenata sa lokalno uznapredovalim ili metastatskim nemikrocelularnim karcinomom pluća koji je pozitivan na mutaciju receptora epidermalog faktora rasta (EGFR) T790M, posle progresije na terapiju inhibitorima tirozin-kinaze (TKI) (C34).
2. Kao monoterapija u prvoj liniji lečenja odraslih pacijenata sa lokalno uznapredovalim ili metastatskim nemikrocelularnim karcinomom pluća sa aktivirajućim mutacijama receptora epidermalnog faktora rasta (EGFR) (C34).
3. Kao monoterapija u adjuvantnom lečenju nakon kompletne resekcije tumora kod odraslih pacijenata sa nemikrocelularnim karcinomom pluća stadijuma IB-IIIA čiji tumori imaju mutacije receptora epidermalnog faktora rasta (EGFR) delecije eksona 19 ili supstituciju eksona 21 (L858R) (C34).</t>
  </si>
  <si>
    <t>L01EE02</t>
  </si>
  <si>
    <t xml:space="preserve"> Lek Lynparza je indikovan kao: 
1. Monoterapija za terapiju održavanja kod odraslih pacijentkinja sa novodijagnostikovanim uznapredovalim (FIGO stadijum III i IV) ili relapsirajućim pozitivnim na BRCA mutacije (germinativne i/ili somatske) epitelijalnim karcinomom jajnika visokog stepena nediferenciranosti, karcinomom jajovoda ili primarnim peritonealnim karcinomom, osetljivim na platinu; potrebno je da su pacijentkinje postigle odgovor (potpun ili delimičan) nakon završetka prve linije hemioterapije zasnovane na platini kod novodijagnostikovanih ili odgovor (potpun ili delimičan) na neku od narednih linija hemioterapije zasnovane na platini kod pacijentkinja sa rekurentnom bolešću (C56;C57;C48).
2. Monoterapija ili u kombinaciji sa endokrinom terapijom za adjuvantno lečenje odraslih pacijenata sa germinativnim BRCA1/2- mutacijama koji imaju HER2 negativan, visokorizični karcinom dojke i koji su prethodno bili lečeni neoadjuvantnom ili adjuvantnom hemioterapijom (C50).
3. Monoterapija za lečenje odraslih pacijenata sa germinativnim BRCA1/2- mutacijama, koje imaju HER2 negativan lokalno uznapredovali ili metastatski karcinom dojke. Pacijenti bi trebalo da su prethodno primali terapiju antraciklinom i taksanom u sklopu (neo)adjuvantne ili terapije za metastatsku bolest, osim ukoliko pacijenti nisu bili pogodni za primanje ovih vrsta terapije.
Pacijenti sa karcinomom dojke pozitivnim na hormonski receptor (HR) treba takođe da su progredirali tokom ili nakon prethodne endokrine terapije, ili da se smatraju nepogodnim za endokrinu terapiju (C50).</t>
  </si>
  <si>
    <t>Za indikaciju pod tačkom 1. lek se uvodi u terapiju na osnovu mišljenja Komisije RFZO, a na osnovu mišljenja tri lekara sledećih zdravstvenih ustanova:
  - Institut za onkologiju i radiologiju Srbije,
  - KBC Bežanijska Kosa,
  - Institut za onkologiju Vojvodine,
  - Klinika za onkologiju UKC Niš,
  - UKC Kragujevac,
  - KBC Zemun.
Za indikaciju pod tačkom 2. i 3.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</si>
  <si>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Opella Healthcare International SAS</t>
  </si>
  <si>
    <t>Genzyme Ireland Limited</t>
  </si>
  <si>
    <t xml:space="preserve"> Irska</t>
  </si>
  <si>
    <t>1.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2. Teška forma hronične plak psorijaze (PASI (Psoriais Area and Severity Index) ≥ 10 i/ili BSA (Body Surface Area) ≥ 10 i/ili indeks kvaliteta života DLQI ≥ 10) kod dece uzrasta 6 i više godina, koji nisu odgovorili, ili ne podnose, ili imaju kontraindikacije na najmanje dva različita ranije primenjena konvencionalna leka, uključujući fototerapiju, retinoide, metotreksat i ciklosporin (L40.0-L40.3; L40.5-L40.9).</t>
  </si>
  <si>
    <t>1.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2. Teška forma hronične plak psorijaze (PASI (Psoriais Area and Severity Index) ≥ 10 i/ili BSA (Body Surface Area) ≥ 10 i/ili indeks kvaliteta života DLQI ≥ 10) kod dece uzrasta 6 i više godina, koji nisu odgovorili, ili ne podnose, ili imaju kontraindikacije na najmanje dva različita ranije primenjena konvencionalna leka, uključujući fototerapiju, retinoide, metotreksat i ciklosporin (L40.0-L40.3; L40.5-L40.9).
3. Za lečenje teškog oblika aktivne Crohn-ove bolesti (K50), kod pacijenata kod kojih prethodno lečenje kortikosteroidima i/ili nutritivnom terapijom, i imunosupresivima nije dalo zadovoljavajući odgovor ili postoji kontraindikacija za pomenutu konvencionalnu terapiju
4.  Teški i vrlo teški oblik aktivnog ulceroznog kolitisa (K51), kod pacijenata koji su imali neadekvatan odgovor na konvencionalnu terapiju uključujući kortikosteroide i imunomodulatore (6-merkaptopurin ili azatioprin), odnosno koji ne podnose ili imaju medicinske kontraindikacije za takvu terapiju.</t>
  </si>
  <si>
    <t>Novartis Pharma Stein AG Technical Operations Schweiz, Stein Steriles;
Sandoz GmbH-Betriebsstatte Manufacturing Site Aseptics Drug Product Schaftenau (Asceptic DPS)</t>
  </si>
  <si>
    <t>Švajcarska;
Austrija</t>
  </si>
  <si>
    <t>Novartis Pharma Stein AG;
Sandoz GmbH</t>
  </si>
  <si>
    <t>1.Psorijazni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3.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4. Teška forma hronične plak psorijaze (PASI (Psoriais Area and Severity Index) ≥ 10 i/ili BSA (Body Surface Area) ≥ 10 i/ili indeks kvaliteta života DLQI ≥ 10) kod dece uzrasta 6 i više godina, koji nisu odgovorili, ili ne podnose, ili imaju kontraindikacije na najmanje dva različita ranije primenjena konvencionalna leka, uključujući fototerapiju, retinoide, metotreksat i ciklosporin (L40.0-L40.3; L40.5-L40.9).</t>
  </si>
  <si>
    <t>Swords Laboratories Unlimited Company T/A Bristol-Myers Squibb Cruiserath, Biologics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</si>
</sst>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0"/>
    <numFmt numFmtId="195" formatCode="[$-1241A]dd/mm/yyyy/;@"/>
    <numFmt numFmtId="196" formatCode="&quot;Yes&quot;;&quot;Yes&quot;;&quot;No&quot;"/>
    <numFmt numFmtId="197" formatCode="&quot;True&quot;;&quot;True&quot;;&quot;False&quot;"/>
    <numFmt numFmtId="198" formatCode="&quot;On&quot;;&quot;On&quot;;&quot;Off&quot;"/>
    <numFmt numFmtId="199" formatCode="[$€-2]\ #,##0.00_);[Red]\([$€-2]\ #,##0.00\)"/>
    <numFmt numFmtId="200" formatCode="0.0000000000000000%"/>
    <numFmt numFmtId="201" formatCode="0.00000000000000%"/>
    <numFmt numFmtId="202" formatCode="d\.m\.yyyy;@"/>
    <numFmt numFmtId="203" formatCode="#,##0.00\ _D_i_n_."/>
    <numFmt numFmtId="204" formatCode="#,##0.00000"/>
    <numFmt numFmtId="205" formatCode="#,##0.000"/>
    <numFmt numFmtId="206" formatCode="&quot; &quot;#,##0.00&quot; &quot;;&quot;-&quot;#,##0.00&quot; &quot;;&quot; -&quot;00&quot; &quot;;&quot; &quot;@&quot; &quot;"/>
    <numFmt numFmtId="207" formatCode="[$-241A]dddd\,\ dd\.\ mmmm\ yyyy\."/>
  </numFmts>
  <fonts count="59">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0"/>
      <color indexed="8"/>
      <name val="Arial"/>
      <family val="2"/>
    </font>
    <font>
      <u val="single"/>
      <sz val="10"/>
      <color indexed="12"/>
      <name val="Arial"/>
      <family val="2"/>
    </font>
    <font>
      <sz val="8"/>
      <name val="Calibri"/>
      <family val="2"/>
    </font>
    <font>
      <u val="single"/>
      <sz val="10"/>
      <color indexed="20"/>
      <name val="Arial"/>
      <family val="2"/>
    </font>
    <font>
      <u val="single"/>
      <sz val="11"/>
      <color indexed="12"/>
      <name val="Calibri"/>
      <family val="2"/>
    </font>
    <font>
      <sz val="10"/>
      <color indexed="8"/>
      <name val="MS Sans Serif"/>
      <family val="2"/>
    </font>
    <font>
      <sz val="18"/>
      <color indexed="56"/>
      <name val="Cambria"/>
      <family val="2"/>
    </font>
    <font>
      <sz val="8"/>
      <name val="Segoe UI"/>
      <family val="2"/>
    </font>
    <font>
      <sz val="11"/>
      <color theme="1"/>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sz val="11"/>
      <color rgb="FFFA7D00"/>
      <name val="Calibri"/>
      <family val="2"/>
    </font>
    <font>
      <b/>
      <sz val="11"/>
      <color rgb="FFFFFFFF"/>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9C6500"/>
      <name val="Calibri"/>
      <family val="2"/>
    </font>
    <font>
      <sz val="10"/>
      <color theme="1"/>
      <name val="Arial"/>
      <family val="2"/>
    </font>
    <font>
      <sz val="11"/>
      <color rgb="FF000000"/>
      <name val="Calibri"/>
      <family val="2"/>
    </font>
    <font>
      <sz val="10"/>
      <color rgb="FF000000"/>
      <name val="MS Sans Serif"/>
      <family val="2"/>
    </font>
    <font>
      <sz val="10"/>
      <color rgb="FF000000"/>
      <name val="Arial"/>
      <family val="2"/>
    </font>
    <font>
      <b/>
      <sz val="11"/>
      <color rgb="FF3F3F3F"/>
      <name val="Calibri"/>
      <family val="2"/>
    </font>
    <font>
      <sz val="11"/>
      <color rgb="FFFF0000"/>
      <name val="Calibri"/>
      <family val="2"/>
    </font>
    <font>
      <b/>
      <sz val="18"/>
      <color theme="3"/>
      <name val="Cambria"/>
      <family val="2"/>
    </font>
    <font>
      <sz val="18"/>
      <color theme="3"/>
      <name val="Cambria"/>
      <family val="2"/>
    </font>
    <font>
      <b/>
      <sz val="18"/>
      <color rgb="FF1F497D"/>
      <name val="Cambria"/>
      <family val="1"/>
    </font>
    <font>
      <b/>
      <sz val="15"/>
      <color rgb="FF1F497D"/>
      <name val="Calibri"/>
      <family val="2"/>
    </font>
    <font>
      <b/>
      <sz val="13"/>
      <color rgb="FF1F497D"/>
      <name val="Calibri"/>
      <family val="2"/>
    </font>
    <font>
      <b/>
      <sz val="11"/>
      <color rgb="FF1F497D"/>
      <name val="Calibri"/>
      <family val="2"/>
    </font>
    <font>
      <b/>
      <sz val="11"/>
      <color theme="1"/>
      <name val="Calibri"/>
      <family val="2"/>
    </font>
    <font>
      <b/>
      <sz val="11"/>
      <color rgb="FF000000"/>
      <name val="Calibri"/>
      <family val="2"/>
    </font>
  </fonts>
  <fills count="10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rgb="FFCCCCFF"/>
        <bgColor indexed="64"/>
      </patternFill>
    </fill>
    <fill>
      <patternFill patternType="solid">
        <fgColor rgb="FFDCE6F1"/>
        <bgColor indexed="64"/>
      </patternFill>
    </fill>
    <fill>
      <patternFill patternType="solid">
        <fgColor rgb="FFDBE5F1"/>
        <bgColor indexed="64"/>
      </patternFill>
    </fill>
    <fill>
      <patternFill patternType="solid">
        <fgColor rgb="FFFF99CC"/>
        <bgColor indexed="64"/>
      </patternFill>
    </fill>
    <fill>
      <patternFill patternType="solid">
        <fgColor rgb="FFF2DCDB"/>
        <bgColor indexed="64"/>
      </patternFill>
    </fill>
    <fill>
      <patternFill patternType="solid">
        <fgColor rgb="FFF2DDDC"/>
        <bgColor indexed="64"/>
      </patternFill>
    </fill>
    <fill>
      <patternFill patternType="solid">
        <fgColor rgb="FFCCFFCC"/>
        <bgColor indexed="64"/>
      </patternFill>
    </fill>
    <fill>
      <patternFill patternType="solid">
        <fgColor rgb="FFEBF1DE"/>
        <bgColor indexed="64"/>
      </patternFill>
    </fill>
    <fill>
      <patternFill patternType="solid">
        <fgColor rgb="FFEAF1DD"/>
        <bgColor indexed="64"/>
      </patternFill>
    </fill>
    <fill>
      <patternFill patternType="solid">
        <fgColor rgb="FFCC99FF"/>
        <bgColor indexed="64"/>
      </patternFill>
    </fill>
    <fill>
      <patternFill patternType="solid">
        <fgColor rgb="FFE4DFEC"/>
        <bgColor indexed="64"/>
      </patternFill>
    </fill>
    <fill>
      <patternFill patternType="solid">
        <fgColor rgb="FFE5E0EC"/>
        <bgColor indexed="64"/>
      </patternFill>
    </fill>
    <fill>
      <patternFill patternType="solid">
        <fgColor rgb="FFDBEEF3"/>
        <bgColor indexed="64"/>
      </patternFill>
    </fill>
    <fill>
      <patternFill patternType="solid">
        <fgColor rgb="FFDAEEF3"/>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rgb="FFB8CCE4"/>
        <bgColor indexed="64"/>
      </patternFill>
    </fill>
    <fill>
      <patternFill patternType="solid">
        <fgColor rgb="FFE6B9B8"/>
        <bgColor indexed="64"/>
      </patternFill>
    </fill>
    <fill>
      <patternFill patternType="solid">
        <fgColor rgb="FFE6B8B7"/>
        <bgColor indexed="64"/>
      </patternFill>
    </fill>
    <fill>
      <patternFill patternType="solid">
        <fgColor rgb="FF00FF00"/>
        <bgColor indexed="64"/>
      </patternFill>
    </fill>
    <fill>
      <patternFill patternType="solid">
        <fgColor rgb="FFD8E4BC"/>
        <bgColor indexed="64"/>
      </patternFill>
    </fill>
    <fill>
      <patternFill patternType="solid">
        <fgColor rgb="FFD7E4BC"/>
        <bgColor indexed="64"/>
      </patternFill>
    </fill>
    <fill>
      <patternFill patternType="solid">
        <fgColor rgb="FFCCC0DA"/>
        <bgColor indexed="64"/>
      </patternFill>
    </fill>
    <fill>
      <patternFill patternType="solid">
        <fgColor rgb="FFB6DDE8"/>
        <bgColor indexed="64"/>
      </patternFill>
    </fill>
    <fill>
      <patternFill patternType="solid">
        <fgColor rgb="FFB7DEE8"/>
        <bgColor indexed="64"/>
      </patternFill>
    </fill>
    <fill>
      <patternFill patternType="solid">
        <fgColor rgb="FFFCD5B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95B3D7"/>
        <bgColor indexed="64"/>
      </patternFill>
    </fill>
    <fill>
      <patternFill patternType="solid">
        <fgColor rgb="FFD99795"/>
        <bgColor indexed="64"/>
      </patternFill>
    </fill>
    <fill>
      <patternFill patternType="solid">
        <fgColor rgb="FFDA9694"/>
        <bgColor indexed="64"/>
      </patternFill>
    </fill>
    <fill>
      <patternFill patternType="solid">
        <fgColor rgb="FFC4D79B"/>
        <bgColor indexed="64"/>
      </patternFill>
    </fill>
    <fill>
      <patternFill patternType="solid">
        <fgColor rgb="FFC2D69A"/>
        <bgColor indexed="64"/>
      </patternFill>
    </fill>
    <fill>
      <patternFill patternType="solid">
        <fgColor rgb="FF800080"/>
        <bgColor indexed="64"/>
      </patternFill>
    </fill>
    <fill>
      <patternFill patternType="solid">
        <fgColor rgb="FFB1A0C7"/>
        <bgColor indexed="64"/>
      </patternFill>
    </fill>
    <fill>
      <patternFill patternType="solid">
        <fgColor rgb="FFB2A1C7"/>
        <bgColor indexed="64"/>
      </patternFill>
    </fill>
    <fill>
      <patternFill patternType="solid">
        <fgColor rgb="FF93CDDD"/>
        <bgColor indexed="64"/>
      </patternFill>
    </fill>
    <fill>
      <patternFill patternType="solid">
        <fgColor rgb="FF92CDDC"/>
        <bgColor indexed="64"/>
      </patternFill>
    </fill>
    <fill>
      <patternFill patternType="solid">
        <fgColor rgb="FFFF9900"/>
        <bgColor indexed="64"/>
      </patternFill>
    </fill>
    <fill>
      <patternFill patternType="solid">
        <fgColor rgb="FFFABF8F"/>
        <bgColor indexed="64"/>
      </patternFill>
    </fill>
    <fill>
      <patternFill patternType="solid">
        <fgColor rgb="FFFAC090"/>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A5A5A5"/>
        <bgColor indexed="64"/>
      </patternFill>
    </fill>
    <fill>
      <patternFill patternType="solid">
        <fgColor indexed="5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C6EFCE"/>
        <bgColor indexed="64"/>
      </patternFill>
    </fill>
    <fill>
      <patternFill patternType="solid">
        <fgColor rgb="FFFFCC9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rgb="FF4F81BD"/>
      </bottom>
    </border>
    <border>
      <left>
        <color indexed="63"/>
      </left>
      <right>
        <color indexed="63"/>
      </right>
      <top>
        <color indexed="63"/>
      </top>
      <bottom style="thick">
        <color rgb="FFA8C0DE"/>
      </bottom>
    </border>
    <border>
      <left>
        <color indexed="63"/>
      </left>
      <right>
        <color indexed="63"/>
      </right>
      <top>
        <color indexed="63"/>
      </top>
      <bottom style="thick">
        <color rgb="FFA7BFDE"/>
      </bottom>
    </border>
    <border>
      <left>
        <color indexed="63"/>
      </left>
      <right>
        <color indexed="63"/>
      </right>
      <top>
        <color indexed="63"/>
      </top>
      <bottom style="medium">
        <color rgb="FF95B3D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4F81BD"/>
      </top>
      <bottom style="double">
        <color rgb="FF4F81BD"/>
      </bottom>
    </border>
    <border>
      <left style="thin"/>
      <right style="thin"/>
      <top style="thin"/>
      <bottom style="thin"/>
    </border>
    <border>
      <left style="thin"/>
      <right>
        <color indexed="63"/>
      </right>
      <top style="thin"/>
      <bottom style="thin"/>
    </border>
    <border>
      <left style="thin"/>
      <right style="thin"/>
      <top/>
      <bottom style="thin"/>
    </border>
    <border>
      <left/>
      <right style="thin"/>
      <top style="thin"/>
      <bottom style="thin"/>
    </border>
  </borders>
  <cellStyleXfs count="26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8"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4"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7"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1"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3"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7"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1"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42" borderId="0" applyNumberFormat="0" applyBorder="0" applyAlignment="0" applyProtection="0"/>
    <xf numFmtId="0" fontId="30" fillId="6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7"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0" fontId="30" fillId="67" borderId="0" applyNumberFormat="0" applyBorder="0" applyAlignment="0" applyProtection="0"/>
    <xf numFmtId="0" fontId="30" fillId="67"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70" borderId="0" applyNumberFormat="0" applyBorder="0" applyAlignment="0" applyProtection="0"/>
    <xf numFmtId="0" fontId="30" fillId="71" borderId="0" applyNumberFormat="0" applyBorder="0" applyAlignment="0" applyProtection="0"/>
    <xf numFmtId="0" fontId="30" fillId="69" borderId="0" applyNumberFormat="0" applyBorder="0" applyAlignment="0" applyProtection="0"/>
    <xf numFmtId="0" fontId="30" fillId="71"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29" fillId="80" borderId="0" applyNumberFormat="0" applyBorder="0" applyAlignment="0" applyProtection="0"/>
    <xf numFmtId="0" fontId="29" fillId="80"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1" fillId="82" borderId="0" applyNumberFormat="0" applyBorder="0" applyAlignment="0" applyProtection="0"/>
    <xf numFmtId="0" fontId="31" fillId="8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2" fillId="83" borderId="1" applyNumberFormat="0" applyAlignment="0" applyProtection="0"/>
    <xf numFmtId="0" fontId="32" fillId="83" borderId="1" applyNumberFormat="0" applyAlignment="0" applyProtection="0"/>
    <xf numFmtId="0" fontId="32" fillId="83" borderId="1" applyNumberFormat="0" applyAlignment="0" applyProtection="0"/>
    <xf numFmtId="0" fontId="32" fillId="83" borderId="1" applyNumberFormat="0" applyAlignment="0" applyProtection="0"/>
    <xf numFmtId="0" fontId="32" fillId="83" borderId="1" applyNumberFormat="0" applyAlignment="0" applyProtection="0"/>
    <xf numFmtId="0" fontId="32" fillId="84" borderId="1" applyNumberFormat="0" applyAlignment="0" applyProtection="0"/>
    <xf numFmtId="0" fontId="32" fillId="84" borderId="1"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86" borderId="4" applyNumberFormat="0" applyAlignment="0" applyProtection="0"/>
    <xf numFmtId="0" fontId="34" fillId="86" borderId="4" applyNumberFormat="0" applyAlignment="0" applyProtection="0"/>
    <xf numFmtId="0" fontId="34" fillId="86" borderId="4" applyNumberFormat="0" applyAlignment="0" applyProtection="0"/>
    <xf numFmtId="0" fontId="34" fillId="86" borderId="4" applyNumberFormat="0" applyAlignment="0" applyProtection="0"/>
    <xf numFmtId="0" fontId="34" fillId="86" borderId="4" applyNumberFormat="0" applyAlignment="0" applyProtection="0"/>
    <xf numFmtId="0" fontId="35" fillId="87" borderId="4" applyNumberFormat="0" applyAlignment="0" applyProtection="0"/>
    <xf numFmtId="0" fontId="35" fillId="87" borderId="4"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30" fillId="89" borderId="0" applyNumberFormat="0" applyBorder="0" applyAlignment="0" applyProtection="0"/>
    <xf numFmtId="0" fontId="30" fillId="89" borderId="0" applyNumberFormat="0" applyBorder="0" applyAlignment="0" applyProtection="0"/>
    <xf numFmtId="0" fontId="30" fillId="89" borderId="0" applyNumberFormat="0" applyBorder="0" applyAlignment="0" applyProtection="0"/>
    <xf numFmtId="0" fontId="30" fillId="89" borderId="0" applyNumberFormat="0" applyBorder="0" applyAlignment="0" applyProtection="0"/>
    <xf numFmtId="0" fontId="30" fillId="89" borderId="0" applyNumberFormat="0" applyBorder="0" applyAlignment="0" applyProtection="0"/>
    <xf numFmtId="0" fontId="30" fillId="90" borderId="0" applyNumberFormat="0" applyBorder="0" applyAlignment="0" applyProtection="0"/>
    <xf numFmtId="0" fontId="30" fillId="90" borderId="0" applyNumberFormat="0" applyBorder="0" applyAlignment="0" applyProtection="0"/>
    <xf numFmtId="0" fontId="30" fillId="90" borderId="0" applyNumberFormat="0" applyBorder="0" applyAlignment="0" applyProtection="0"/>
    <xf numFmtId="0" fontId="30" fillId="90" borderId="0" applyNumberFormat="0" applyBorder="0" applyAlignment="0" applyProtection="0"/>
    <xf numFmtId="0" fontId="30" fillId="90" borderId="0" applyNumberFormat="0" applyBorder="0" applyAlignment="0" applyProtection="0"/>
    <xf numFmtId="0" fontId="30" fillId="91" borderId="0" applyNumberFormat="0" applyBorder="0" applyAlignment="0" applyProtection="0"/>
    <xf numFmtId="0" fontId="30" fillId="91" borderId="0" applyNumberFormat="0" applyBorder="0" applyAlignment="0" applyProtection="0"/>
    <xf numFmtId="0" fontId="30" fillId="91" borderId="0" applyNumberFormat="0" applyBorder="0" applyAlignment="0" applyProtection="0"/>
    <xf numFmtId="0" fontId="30" fillId="91" borderId="0" applyNumberFormat="0" applyBorder="0" applyAlignment="0" applyProtection="0"/>
    <xf numFmtId="0" fontId="30" fillId="91" borderId="0" applyNumberFormat="0" applyBorder="0" applyAlignment="0" applyProtection="0"/>
    <xf numFmtId="0" fontId="30" fillId="92" borderId="0" applyNumberFormat="0" applyBorder="0" applyAlignment="0" applyProtection="0"/>
    <xf numFmtId="0" fontId="30" fillId="92" borderId="0" applyNumberFormat="0" applyBorder="0" applyAlignment="0" applyProtection="0"/>
    <xf numFmtId="0" fontId="30" fillId="92" borderId="0" applyNumberFormat="0" applyBorder="0" applyAlignment="0" applyProtection="0"/>
    <xf numFmtId="0" fontId="30" fillId="92" borderId="0" applyNumberFormat="0" applyBorder="0" applyAlignment="0" applyProtection="0"/>
    <xf numFmtId="0" fontId="30" fillId="92" borderId="0" applyNumberFormat="0" applyBorder="0" applyAlignment="0" applyProtection="0"/>
    <xf numFmtId="0" fontId="30" fillId="93" borderId="0" applyNumberFormat="0" applyBorder="0" applyAlignment="0" applyProtection="0"/>
    <xf numFmtId="0" fontId="30" fillId="93" borderId="0" applyNumberFormat="0" applyBorder="0" applyAlignment="0" applyProtection="0"/>
    <xf numFmtId="0" fontId="30" fillId="93" borderId="0" applyNumberFormat="0" applyBorder="0" applyAlignment="0" applyProtection="0"/>
    <xf numFmtId="0" fontId="30" fillId="93" borderId="0" applyNumberFormat="0" applyBorder="0" applyAlignment="0" applyProtection="0"/>
    <xf numFmtId="0" fontId="30" fillId="93" borderId="0" applyNumberFormat="0" applyBorder="0" applyAlignment="0" applyProtection="0"/>
    <xf numFmtId="0" fontId="30" fillId="94" borderId="0" applyNumberFormat="0" applyBorder="0" applyAlignment="0" applyProtection="0"/>
    <xf numFmtId="0" fontId="30" fillId="94" borderId="0" applyNumberFormat="0" applyBorder="0" applyAlignment="0" applyProtection="0"/>
    <xf numFmtId="0" fontId="30" fillId="94" borderId="0" applyNumberFormat="0" applyBorder="0" applyAlignment="0" applyProtection="0"/>
    <xf numFmtId="0" fontId="30" fillId="94" borderId="0" applyNumberFormat="0" applyBorder="0" applyAlignment="0" applyProtection="0"/>
    <xf numFmtId="0" fontId="30" fillId="9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8" fillId="95" borderId="0" applyNumberFormat="0" applyBorder="0" applyAlignment="0" applyProtection="0"/>
    <xf numFmtId="0" fontId="38" fillId="9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9" fillId="0" borderId="6"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3" fillId="96" borderId="1" applyNumberFormat="0" applyAlignment="0" applyProtection="0"/>
    <xf numFmtId="0" fontId="43" fillId="97"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3" fillId="97" borderId="1" applyNumberFormat="0" applyAlignment="0" applyProtection="0"/>
    <xf numFmtId="0" fontId="43" fillId="97" borderId="1" applyNumberFormat="0" applyAlignment="0" applyProtection="0"/>
    <xf numFmtId="0" fontId="12" fillId="13" borderId="2" applyNumberFormat="0" applyAlignment="0" applyProtection="0"/>
    <xf numFmtId="0" fontId="43" fillId="97"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3" fillId="96"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3" fillId="97" borderId="1" applyNumberFormat="0" applyAlignment="0" applyProtection="0"/>
    <xf numFmtId="0" fontId="33" fillId="0" borderId="3" applyNumberFormat="0" applyFill="0" applyAlignment="0" applyProtection="0"/>
    <xf numFmtId="0" fontId="33" fillId="0" borderId="3"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0" fontId="44" fillId="98" borderId="0" applyNumberFormat="0" applyBorder="0" applyAlignment="0" applyProtection="0"/>
    <xf numFmtId="0" fontId="44" fillId="98"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44" fillId="100" borderId="0" applyNumberFormat="0" applyBorder="0" applyAlignment="0" applyProtection="0"/>
    <xf numFmtId="0" fontId="44" fillId="100" borderId="0" applyNumberFormat="0" applyBorder="0" applyAlignment="0" applyProtection="0"/>
    <xf numFmtId="0" fontId="44" fillId="100" borderId="0" applyNumberFormat="0" applyBorder="0" applyAlignment="0" applyProtection="0"/>
    <xf numFmtId="0" fontId="44" fillId="100" borderId="0" applyNumberFormat="0" applyBorder="0" applyAlignment="0" applyProtection="0"/>
    <xf numFmtId="0" fontId="44" fillId="10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5"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45" fillId="0" borderId="0">
      <alignment/>
      <protection/>
    </xf>
    <xf numFmtId="0" fontId="28"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28" fillId="0" borderId="0">
      <alignment/>
      <protection/>
    </xf>
    <xf numFmtId="0" fontId="28" fillId="0" borderId="0">
      <alignment/>
      <protection/>
    </xf>
    <xf numFmtId="0" fontId="1" fillId="0" borderId="0">
      <alignment/>
      <protection/>
    </xf>
    <xf numFmtId="0" fontId="20" fillId="0" borderId="0">
      <alignment/>
      <protection/>
    </xf>
    <xf numFmtId="0" fontId="20"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28" fillId="0" borderId="0">
      <alignment/>
      <protection/>
    </xf>
    <xf numFmtId="0" fontId="2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28"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46"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46" fillId="0" borderId="0">
      <alignment/>
      <protection/>
    </xf>
    <xf numFmtId="0" fontId="46"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46" fillId="0" borderId="0">
      <alignment/>
      <protection/>
    </xf>
    <xf numFmtId="0" fontId="28" fillId="0" borderId="0">
      <alignment/>
      <protection/>
    </xf>
    <xf numFmtId="0" fontId="0" fillId="0" borderId="0">
      <alignment/>
      <protection/>
    </xf>
    <xf numFmtId="0" fontId="0" fillId="0" borderId="0">
      <alignment/>
      <protection/>
    </xf>
    <xf numFmtId="0" fontId="46"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46" fillId="0" borderId="0">
      <alignment/>
      <protection/>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8" fillId="0" borderId="0" applyNumberFormat="0" applyBorder="0" applyProtection="0">
      <alignment/>
    </xf>
    <xf numFmtId="0" fontId="28" fillId="0" borderId="0">
      <alignment/>
      <protection/>
    </xf>
    <xf numFmtId="0" fontId="28" fillId="0" borderId="0">
      <alignment/>
      <protection/>
    </xf>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0" fillId="102" borderId="13" applyNumberFormat="0" applyFont="0" applyAlignment="0" applyProtection="0"/>
    <xf numFmtId="0" fontId="1" fillId="102" borderId="13"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1" fillId="102" borderId="13" applyNumberFormat="0" applyFont="0" applyAlignment="0" applyProtection="0"/>
    <xf numFmtId="0" fontId="1" fillId="102" borderId="13"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49" fillId="84" borderId="15" applyNumberFormat="0" applyAlignment="0" applyProtection="0"/>
    <xf numFmtId="0" fontId="49" fillId="83"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9" fillId="83" borderId="15" applyNumberFormat="0" applyAlignment="0" applyProtection="0"/>
    <xf numFmtId="0" fontId="49" fillId="83" borderId="15" applyNumberFormat="0" applyAlignment="0" applyProtection="0"/>
    <xf numFmtId="0" fontId="15" fillId="85" borderId="16" applyNumberFormat="0" applyAlignment="0" applyProtection="0"/>
    <xf numFmtId="0" fontId="49" fillId="83"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9" fillId="84"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9" fillId="83"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9"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7" fillId="0" borderId="21" applyNumberFormat="0" applyFill="0" applyAlignment="0" applyProtection="0"/>
    <xf numFmtId="0" fontId="57" fillId="0" borderId="2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31" fillId="104" borderId="0" applyNumberFormat="0" applyBorder="0" applyAlignment="0" applyProtection="0"/>
    <xf numFmtId="0" fontId="31" fillId="104" borderId="0" applyNumberFormat="0" applyBorder="0" applyAlignment="0" applyProtection="0"/>
    <xf numFmtId="0" fontId="31" fillId="104" borderId="0" applyNumberFormat="0" applyBorder="0" applyAlignment="0" applyProtection="0"/>
    <xf numFmtId="0" fontId="31" fillId="104" borderId="0" applyNumberFormat="0" applyBorder="0" applyAlignment="0" applyProtection="0"/>
    <xf numFmtId="0" fontId="31" fillId="10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23">
    <xf numFmtId="0" fontId="0" fillId="0" borderId="0" xfId="0" applyAlignment="1">
      <alignment/>
    </xf>
    <xf numFmtId="0" fontId="2" fillId="0" borderId="24" xfId="0" applyFont="1" applyFill="1" applyBorder="1" applyAlignment="1">
      <alignment horizontal="center" wrapText="1"/>
    </xf>
    <xf numFmtId="4" fontId="2" fillId="0" borderId="24" xfId="0" applyNumberFormat="1" applyFont="1" applyFill="1" applyBorder="1" applyAlignment="1">
      <alignment horizontal="center" wrapText="1"/>
    </xf>
    <xf numFmtId="0" fontId="2" fillId="0" borderId="24" xfId="2170" applyFont="1" applyFill="1" applyBorder="1" applyAlignment="1">
      <alignment horizontal="center" wrapText="1"/>
      <protection/>
    </xf>
    <xf numFmtId="49" fontId="2" fillId="0" borderId="24" xfId="0" applyNumberFormat="1" applyFont="1" applyFill="1" applyBorder="1" applyAlignment="1">
      <alignment horizontal="left" wrapText="1"/>
    </xf>
    <xf numFmtId="0" fontId="2" fillId="0" borderId="24" xfId="0" applyFont="1" applyFill="1" applyBorder="1" applyAlignment="1">
      <alignment horizontal="left" wrapText="1"/>
    </xf>
    <xf numFmtId="0" fontId="19" fillId="0" borderId="24" xfId="0" applyFont="1" applyFill="1" applyBorder="1" applyAlignment="1">
      <alignment horizontal="center" wrapText="1"/>
    </xf>
    <xf numFmtId="4" fontId="19" fillId="0" borderId="24" xfId="0" applyNumberFormat="1" applyFont="1" applyFill="1" applyBorder="1" applyAlignment="1">
      <alignment horizontal="center" wrapText="1"/>
    </xf>
    <xf numFmtId="49" fontId="2" fillId="0" borderId="24" xfId="2177" applyNumberFormat="1" applyFont="1" applyFill="1" applyBorder="1" applyAlignment="1">
      <alignment horizontal="left"/>
      <protection/>
    </xf>
    <xf numFmtId="0" fontId="2" fillId="0" borderId="24" xfId="2177" applyFont="1" applyFill="1" applyBorder="1" applyAlignment="1">
      <alignment horizontal="left"/>
      <protection/>
    </xf>
    <xf numFmtId="0" fontId="2" fillId="0" borderId="24" xfId="2177" applyFont="1" applyFill="1" applyBorder="1" applyAlignment="1">
      <alignment horizontal="left" wrapText="1"/>
      <protection/>
    </xf>
    <xf numFmtId="0" fontId="2" fillId="0" borderId="24" xfId="2177" applyFont="1" applyFill="1" applyBorder="1" applyAlignment="1">
      <alignment horizontal="center" wrapText="1"/>
      <protection/>
    </xf>
    <xf numFmtId="4" fontId="2" fillId="0" borderId="24" xfId="2177" applyNumberFormat="1" applyFont="1" applyFill="1" applyBorder="1" applyAlignment="1">
      <alignment horizontal="center"/>
      <protection/>
    </xf>
    <xf numFmtId="49" fontId="2" fillId="0" borderId="24" xfId="2194" applyNumberFormat="1" applyFont="1" applyFill="1" applyBorder="1" applyAlignment="1">
      <alignment horizontal="left"/>
      <protection/>
    </xf>
    <xf numFmtId="0" fontId="2" fillId="0" borderId="24" xfId="2194" applyFont="1" applyFill="1" applyBorder="1" applyAlignment="1">
      <alignment horizontal="left"/>
      <protection/>
    </xf>
    <xf numFmtId="0" fontId="2" fillId="0" borderId="24" xfId="2194" applyFont="1" applyFill="1" applyBorder="1" applyAlignment="1">
      <alignment horizontal="left" wrapText="1"/>
      <protection/>
    </xf>
    <xf numFmtId="0" fontId="2" fillId="0" borderId="24" xfId="2194" applyFont="1" applyFill="1" applyBorder="1" applyAlignment="1">
      <alignment horizontal="center" wrapText="1"/>
      <protection/>
    </xf>
    <xf numFmtId="0" fontId="2" fillId="0" borderId="24" xfId="2196" applyFont="1" applyFill="1" applyBorder="1" applyAlignment="1">
      <alignment horizontal="left" wrapText="1"/>
      <protection/>
    </xf>
    <xf numFmtId="0" fontId="2" fillId="0" borderId="24" xfId="2196" applyFont="1" applyFill="1" applyBorder="1" applyAlignment="1">
      <alignment horizontal="center" wrapText="1"/>
      <protection/>
    </xf>
    <xf numFmtId="0" fontId="2" fillId="0" borderId="24" xfId="2196" applyFont="1" applyFill="1" applyBorder="1" applyAlignment="1">
      <alignment horizontal="center"/>
      <protection/>
    </xf>
    <xf numFmtId="4" fontId="2" fillId="0" borderId="24" xfId="2196" applyNumberFormat="1" applyFont="1" applyFill="1" applyBorder="1" applyAlignment="1">
      <alignment horizontal="center" wrapText="1"/>
      <protection/>
    </xf>
    <xf numFmtId="4" fontId="2" fillId="0" borderId="24" xfId="0" applyNumberFormat="1" applyFont="1" applyFill="1" applyBorder="1" applyAlignment="1">
      <alignment horizontal="center"/>
    </xf>
    <xf numFmtId="0" fontId="19" fillId="0" borderId="0"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4" fontId="2" fillId="0" borderId="0" xfId="0"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19" fillId="0" borderId="24" xfId="0" applyFont="1" applyFill="1" applyBorder="1" applyAlignment="1" applyProtection="1">
      <alignment horizontal="center" wrapText="1"/>
      <protection/>
    </xf>
    <xf numFmtId="0" fontId="2" fillId="0" borderId="24" xfId="2153" applyFont="1" applyFill="1" applyBorder="1" applyAlignment="1">
      <alignment horizontal="left" wrapText="1"/>
      <protection/>
    </xf>
    <xf numFmtId="0" fontId="2" fillId="0" borderId="24" xfId="0" applyFont="1" applyFill="1" applyBorder="1" applyAlignment="1">
      <alignment horizontal="left" vertical="center" wrapText="1"/>
    </xf>
    <xf numFmtId="4" fontId="2" fillId="0" borderId="24" xfId="0" applyNumberFormat="1" applyFont="1" applyFill="1" applyBorder="1" applyAlignment="1">
      <alignment horizontal="left" wrapText="1"/>
    </xf>
    <xf numFmtId="0" fontId="2" fillId="0" borderId="24" xfId="2318" applyFont="1" applyFill="1" applyBorder="1" applyAlignment="1">
      <alignment horizontal="left" wrapText="1"/>
      <protection/>
    </xf>
    <xf numFmtId="4" fontId="2" fillId="0" borderId="24" xfId="2328" applyNumberFormat="1" applyFont="1" applyFill="1" applyBorder="1" applyAlignment="1">
      <alignment horizontal="left" wrapText="1"/>
      <protection/>
    </xf>
    <xf numFmtId="191" fontId="2" fillId="0" borderId="24" xfId="0" applyNumberFormat="1" applyFont="1" applyFill="1" applyBorder="1" applyAlignment="1">
      <alignment horizontal="left" wrapText="1"/>
    </xf>
    <xf numFmtId="2" fontId="19" fillId="0" borderId="25" xfId="0" applyNumberFormat="1" applyFont="1" applyFill="1" applyBorder="1" applyAlignment="1">
      <alignment horizontal="center" wrapText="1"/>
    </xf>
    <xf numFmtId="0" fontId="2" fillId="0" borderId="0" xfId="0" applyFont="1" applyFill="1" applyBorder="1" applyAlignment="1">
      <alignment horizontal="left" vertical="center" wrapText="1"/>
    </xf>
    <xf numFmtId="0" fontId="2" fillId="0" borderId="25" xfId="0" applyFont="1" applyFill="1" applyBorder="1" applyAlignment="1">
      <alignment horizontal="center" wrapText="1"/>
    </xf>
    <xf numFmtId="4" fontId="2" fillId="0" borderId="25" xfId="2177" applyNumberFormat="1" applyFont="1" applyFill="1" applyBorder="1" applyAlignment="1">
      <alignment horizontal="center"/>
      <protection/>
    </xf>
    <xf numFmtId="4" fontId="2" fillId="0" borderId="25" xfId="0" applyNumberFormat="1" applyFont="1" applyFill="1" applyBorder="1" applyAlignment="1">
      <alignment horizontal="center" wrapText="1"/>
    </xf>
    <xf numFmtId="0" fontId="2" fillId="0" borderId="0" xfId="0" applyFont="1" applyFill="1" applyBorder="1" applyAlignment="1">
      <alignment/>
    </xf>
    <xf numFmtId="0" fontId="2" fillId="0" borderId="24" xfId="2140" applyFont="1" applyFill="1" applyBorder="1" applyAlignment="1">
      <alignment horizontal="left" wrapText="1"/>
      <protection/>
    </xf>
    <xf numFmtId="0" fontId="2" fillId="0" borderId="0" xfId="0" applyFont="1" applyFill="1" applyBorder="1" applyAlignment="1">
      <alignment/>
    </xf>
    <xf numFmtId="49" fontId="2" fillId="0" borderId="24" xfId="2267" applyNumberFormat="1" applyFont="1" applyFill="1" applyBorder="1" applyAlignment="1">
      <alignment horizontal="left"/>
      <protection/>
    </xf>
    <xf numFmtId="0" fontId="2" fillId="0" borderId="24" xfId="2267" applyFont="1" applyFill="1" applyBorder="1" applyAlignment="1">
      <alignment horizontal="left"/>
      <protection/>
    </xf>
    <xf numFmtId="0" fontId="2" fillId="0" borderId="24" xfId="2267" applyFont="1" applyFill="1" applyBorder="1" applyAlignment="1">
      <alignment horizontal="left" wrapText="1"/>
      <protection/>
    </xf>
    <xf numFmtId="0" fontId="2" fillId="0" borderId="24" xfId="2267" applyFont="1" applyFill="1" applyBorder="1" applyAlignment="1">
      <alignment horizontal="center" wrapText="1"/>
      <protection/>
    </xf>
    <xf numFmtId="4" fontId="2" fillId="0" borderId="24" xfId="2267" applyNumberFormat="1" applyFont="1" applyFill="1" applyBorder="1" applyAlignment="1">
      <alignment horizontal="center"/>
      <protection/>
    </xf>
    <xf numFmtId="0" fontId="2" fillId="0" borderId="24" xfId="2267" applyFont="1" applyFill="1" applyBorder="1" applyAlignment="1">
      <alignment horizontal="center"/>
      <protection/>
    </xf>
    <xf numFmtId="49" fontId="2" fillId="0" borderId="24" xfId="0" applyNumberFormat="1" applyFont="1" applyFill="1" applyBorder="1" applyAlignment="1">
      <alignment horizontal="left"/>
    </xf>
    <xf numFmtId="0" fontId="2" fillId="0" borderId="24" xfId="0" applyFont="1" applyFill="1" applyBorder="1" applyAlignment="1">
      <alignment horizontal="left"/>
    </xf>
    <xf numFmtId="49" fontId="2" fillId="0" borderId="24" xfId="0" applyNumberFormat="1" applyFont="1" applyFill="1" applyBorder="1" applyAlignment="1">
      <alignment horizontal="center" wrapText="1"/>
    </xf>
    <xf numFmtId="4" fontId="2" fillId="0" borderId="24" xfId="2162" applyNumberFormat="1" applyFont="1" applyFill="1" applyBorder="1" applyAlignment="1">
      <alignment horizontal="center"/>
      <protection/>
    </xf>
    <xf numFmtId="2" fontId="2" fillId="0" borderId="25" xfId="2162" applyNumberFormat="1" applyFont="1" applyFill="1" applyBorder="1" applyAlignment="1">
      <alignment horizontal="center" wrapText="1"/>
      <protection/>
    </xf>
    <xf numFmtId="0" fontId="2" fillId="0" borderId="24" xfId="0" applyFont="1" applyFill="1" applyBorder="1" applyAlignment="1">
      <alignment wrapText="1"/>
    </xf>
    <xf numFmtId="0" fontId="2" fillId="0" borderId="24" xfId="0" applyFont="1" applyFill="1" applyBorder="1" applyAlignment="1">
      <alignment/>
    </xf>
    <xf numFmtId="0" fontId="2" fillId="0" borderId="0" xfId="0" applyFont="1" applyFill="1" applyBorder="1" applyAlignment="1">
      <alignment wrapText="1"/>
    </xf>
    <xf numFmtId="0" fontId="2" fillId="0" borderId="24" xfId="0" applyNumberFormat="1" applyFont="1" applyFill="1" applyBorder="1" applyAlignment="1">
      <alignment horizontal="left" wrapText="1"/>
    </xf>
    <xf numFmtId="0" fontId="2" fillId="0" borderId="24" xfId="0" applyFont="1" applyFill="1" applyBorder="1" applyAlignment="1">
      <alignment horizontal="center"/>
    </xf>
    <xf numFmtId="2" fontId="2" fillId="0" borderId="24" xfId="0" applyNumberFormat="1" applyFont="1" applyFill="1" applyBorder="1" applyAlignment="1">
      <alignment horizontal="center" wrapText="1"/>
    </xf>
    <xf numFmtId="0" fontId="2" fillId="0" borderId="24" xfId="0" applyFont="1" applyFill="1" applyBorder="1" applyAlignment="1">
      <alignment horizontal="left" wrapText="1"/>
    </xf>
    <xf numFmtId="49" fontId="2" fillId="0" borderId="24" xfId="2254" applyNumberFormat="1" applyFont="1" applyFill="1" applyBorder="1" applyAlignment="1">
      <alignment horizontal="left" wrapText="1"/>
      <protection/>
    </xf>
    <xf numFmtId="0" fontId="2" fillId="0" borderId="24" xfId="2254" applyFont="1" applyFill="1" applyBorder="1" applyAlignment="1">
      <alignment horizontal="left" wrapText="1"/>
      <protection/>
    </xf>
    <xf numFmtId="0" fontId="2" fillId="0" borderId="24" xfId="2254" applyFont="1" applyFill="1" applyBorder="1" applyAlignment="1">
      <alignment horizontal="center" wrapText="1"/>
      <protection/>
    </xf>
    <xf numFmtId="0" fontId="2" fillId="0" borderId="24" xfId="2134" applyFont="1" applyFill="1" applyBorder="1" applyAlignment="1">
      <alignment horizontal="left" wrapText="1"/>
      <protection/>
    </xf>
    <xf numFmtId="49" fontId="2" fillId="0" borderId="24" xfId="0" applyNumberFormat="1" applyFont="1" applyFill="1" applyBorder="1" applyAlignment="1">
      <alignment horizontal="left" wrapText="1"/>
    </xf>
    <xf numFmtId="0" fontId="2" fillId="0" borderId="24" xfId="0" applyFont="1" applyFill="1" applyBorder="1" applyAlignment="1">
      <alignment horizontal="center" wrapText="1"/>
    </xf>
    <xf numFmtId="4" fontId="2" fillId="0" borderId="0" xfId="0" applyNumberFormat="1" applyFont="1" applyFill="1" applyBorder="1" applyAlignment="1">
      <alignment horizontal="center" vertical="center" wrapText="1"/>
    </xf>
    <xf numFmtId="4" fontId="19" fillId="0" borderId="24" xfId="2154" applyNumberFormat="1" applyFont="1" applyFill="1" applyBorder="1" applyAlignment="1">
      <alignment horizontal="center" wrapText="1"/>
      <protection/>
    </xf>
    <xf numFmtId="0" fontId="2" fillId="0" borderId="24" xfId="0" applyFont="1" applyFill="1" applyBorder="1" applyAlignment="1">
      <alignment horizontal="center"/>
    </xf>
    <xf numFmtId="4" fontId="2" fillId="0" borderId="24" xfId="0" applyNumberFormat="1" applyFont="1" applyFill="1" applyBorder="1" applyAlignment="1">
      <alignment horizontal="center"/>
    </xf>
    <xf numFmtId="4" fontId="2" fillId="0" borderId="25" xfId="2177" applyNumberFormat="1" applyFont="1" applyFill="1" applyBorder="1" applyAlignment="1">
      <alignment horizontal="center"/>
      <protection/>
    </xf>
    <xf numFmtId="0" fontId="2" fillId="0" borderId="24" xfId="2153" applyFont="1" applyFill="1" applyBorder="1" applyAlignment="1">
      <alignment horizontal="left" wrapText="1"/>
      <protection/>
    </xf>
    <xf numFmtId="0" fontId="2" fillId="0" borderId="24" xfId="0" applyFont="1" applyFill="1" applyBorder="1" applyAlignment="1">
      <alignment horizontal="left" vertical="center" wrapText="1"/>
    </xf>
    <xf numFmtId="0" fontId="22" fillId="0" borderId="24" xfId="0" applyFont="1" applyFill="1" applyBorder="1" applyAlignment="1">
      <alignment horizontal="center"/>
    </xf>
    <xf numFmtId="0" fontId="2" fillId="0" borderId="24" xfId="2162" applyFont="1" applyFill="1" applyBorder="1" applyAlignment="1">
      <alignment horizontal="center" wrapText="1"/>
      <protection/>
    </xf>
    <xf numFmtId="4" fontId="2" fillId="0" borderId="24" xfId="2162" applyNumberFormat="1" applyFont="1" applyFill="1" applyBorder="1" applyAlignment="1">
      <alignment horizontal="center"/>
      <protection/>
    </xf>
    <xf numFmtId="4" fontId="2" fillId="0" borderId="24" xfId="0" applyNumberFormat="1" applyFont="1" applyFill="1" applyBorder="1" applyAlignment="1">
      <alignment horizontal="center" wrapText="1"/>
    </xf>
    <xf numFmtId="4" fontId="2" fillId="0" borderId="25" xfId="0" applyNumberFormat="1" applyFont="1" applyFill="1" applyBorder="1" applyAlignment="1">
      <alignment horizontal="center" wrapText="1"/>
    </xf>
    <xf numFmtId="0" fontId="2" fillId="0" borderId="24" xfId="2267" applyFont="1" applyFill="1" applyBorder="1" applyAlignment="1">
      <alignment wrapText="1"/>
      <protection/>
    </xf>
    <xf numFmtId="49" fontId="2" fillId="0" borderId="24" xfId="2140" applyNumberFormat="1" applyFont="1" applyFill="1" applyBorder="1" applyAlignment="1">
      <alignment horizontal="left" wrapText="1"/>
      <protection/>
    </xf>
    <xf numFmtId="0" fontId="2" fillId="0" borderId="24" xfId="2140" applyFont="1" applyFill="1" applyBorder="1" applyAlignment="1">
      <alignment horizontal="left" wrapText="1"/>
      <protection/>
    </xf>
    <xf numFmtId="0" fontId="2" fillId="0" borderId="24" xfId="2140" applyFont="1" applyFill="1" applyBorder="1" applyAlignment="1">
      <alignment horizontal="center" wrapText="1"/>
      <protection/>
    </xf>
    <xf numFmtId="0" fontId="2" fillId="0" borderId="25" xfId="0" applyFont="1" applyFill="1" applyBorder="1" applyAlignment="1">
      <alignment horizontal="center" wrapText="1"/>
    </xf>
    <xf numFmtId="0" fontId="2" fillId="0" borderId="24" xfId="2135" applyFont="1" applyFill="1" applyBorder="1" applyAlignment="1">
      <alignment horizontal="left" wrapText="1"/>
      <protection/>
    </xf>
    <xf numFmtId="0" fontId="2" fillId="0" borderId="24" xfId="2135" applyFont="1" applyFill="1" applyBorder="1" applyAlignment="1">
      <alignment horizontal="left" wrapText="1"/>
      <protection/>
    </xf>
    <xf numFmtId="0" fontId="2" fillId="0" borderId="24" xfId="0" applyFont="1" applyFill="1" applyBorder="1" applyAlignment="1">
      <alignment wrapText="1"/>
    </xf>
    <xf numFmtId="49" fontId="2" fillId="0" borderId="24" xfId="2162" applyNumberFormat="1" applyFont="1" applyFill="1" applyBorder="1" applyAlignment="1">
      <alignment horizontal="left" wrapText="1"/>
      <protection/>
    </xf>
    <xf numFmtId="0" fontId="2" fillId="0" borderId="24" xfId="2162" applyFont="1" applyFill="1" applyBorder="1" applyAlignment="1">
      <alignment horizontal="left" wrapText="1"/>
      <protection/>
    </xf>
    <xf numFmtId="0" fontId="2" fillId="0" borderId="0" xfId="0" applyFont="1" applyFill="1" applyAlignment="1">
      <alignment/>
    </xf>
    <xf numFmtId="0" fontId="2" fillId="0" borderId="26" xfId="0" applyFont="1" applyFill="1" applyBorder="1" applyAlignment="1">
      <alignment horizontal="left" wrapText="1"/>
    </xf>
    <xf numFmtId="49" fontId="2" fillId="0" borderId="24" xfId="2165" applyNumberFormat="1" applyFont="1" applyFill="1" applyBorder="1" applyAlignment="1">
      <alignment horizontal="left" wrapText="1"/>
      <protection/>
    </xf>
    <xf numFmtId="0" fontId="2" fillId="0" borderId="24" xfId="2195" applyFont="1" applyFill="1" applyBorder="1" applyAlignment="1">
      <alignment horizontal="center" wrapText="1"/>
      <protection/>
    </xf>
    <xf numFmtId="0" fontId="2" fillId="0" borderId="24" xfId="2162" applyFont="1" applyFill="1" applyBorder="1" applyAlignment="1">
      <alignment horizontal="center" wrapText="1"/>
      <protection/>
    </xf>
    <xf numFmtId="4" fontId="2" fillId="0" borderId="27"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7" xfId="0" applyNumberFormat="1" applyFont="1" applyFill="1" applyBorder="1" applyAlignment="1">
      <alignment horizontal="left" wrapText="1"/>
    </xf>
    <xf numFmtId="4" fontId="2" fillId="0" borderId="24" xfId="2140" applyNumberFormat="1" applyFont="1" applyFill="1" applyBorder="1" applyAlignment="1">
      <alignment horizontal="center"/>
      <protection/>
    </xf>
    <xf numFmtId="0" fontId="2" fillId="0" borderId="24" xfId="2140" applyFont="1" applyFill="1" applyBorder="1" applyAlignment="1">
      <alignment horizontal="center"/>
      <protection/>
    </xf>
    <xf numFmtId="2" fontId="2" fillId="0" borderId="24" xfId="2162" applyNumberFormat="1" applyFont="1" applyFill="1" applyBorder="1" applyAlignment="1">
      <alignment horizontal="center"/>
      <protection/>
    </xf>
    <xf numFmtId="49" fontId="2" fillId="0" borderId="24" xfId="2165" applyNumberFormat="1" applyFont="1" applyFill="1" applyBorder="1" applyAlignment="1">
      <alignment horizontal="center" wrapText="1"/>
      <protection/>
    </xf>
    <xf numFmtId="0" fontId="2" fillId="0" borderId="24" xfId="0" applyFont="1" applyFill="1" applyBorder="1" applyAlignment="1">
      <alignment horizontal="left"/>
    </xf>
    <xf numFmtId="0" fontId="2" fillId="0" borderId="24" xfId="2133" applyFont="1" applyFill="1" applyBorder="1" applyAlignment="1">
      <alignment horizontal="left" wrapText="1"/>
      <protection/>
    </xf>
    <xf numFmtId="49" fontId="2" fillId="0" borderId="24" xfId="0" applyNumberFormat="1" applyFont="1" applyFill="1" applyBorder="1" applyAlignment="1">
      <alignment horizontal="left"/>
    </xf>
    <xf numFmtId="0" fontId="2" fillId="0" borderId="24" xfId="2195" applyFont="1" applyFill="1" applyBorder="1" applyAlignment="1">
      <alignment horizontal="center" wrapText="1"/>
      <protection/>
    </xf>
    <xf numFmtId="0" fontId="2" fillId="0" borderId="24" xfId="2140" applyFont="1" applyFill="1" applyBorder="1" applyAlignment="1">
      <alignment wrapText="1"/>
      <protection/>
    </xf>
    <xf numFmtId="0" fontId="2" fillId="0" borderId="24" xfId="2140" applyFont="1" applyFill="1" applyBorder="1" applyAlignment="1">
      <alignment vertical="center" wrapText="1"/>
      <protection/>
    </xf>
    <xf numFmtId="0" fontId="2" fillId="0" borderId="24" xfId="2133" applyFont="1" applyFill="1" applyBorder="1" applyAlignment="1">
      <alignment horizontal="center" wrapText="1"/>
      <protection/>
    </xf>
    <xf numFmtId="0" fontId="2" fillId="0" borderId="24" xfId="2133" applyFont="1" applyFill="1" applyBorder="1" applyAlignment="1">
      <alignment wrapText="1"/>
      <protection/>
    </xf>
    <xf numFmtId="0" fontId="2" fillId="0" borderId="24" xfId="2135" applyFont="1" applyFill="1" applyBorder="1" applyAlignment="1">
      <alignment wrapText="1"/>
      <protection/>
    </xf>
    <xf numFmtId="0" fontId="2" fillId="0" borderId="24" xfId="2151" applyFont="1" applyFill="1" applyBorder="1" applyAlignment="1">
      <alignment horizontal="left" wrapText="1"/>
      <protection/>
    </xf>
    <xf numFmtId="0" fontId="22" fillId="0" borderId="24" xfId="0" applyFont="1" applyFill="1" applyBorder="1" applyAlignment="1">
      <alignment horizontal="center"/>
    </xf>
    <xf numFmtId="0" fontId="2" fillId="0" borderId="24" xfId="2144" applyFont="1" applyFill="1" applyBorder="1" applyAlignment="1">
      <alignment wrapText="1"/>
      <protection/>
    </xf>
    <xf numFmtId="49" fontId="2" fillId="0" borderId="24" xfId="0" applyNumberFormat="1" applyFont="1" applyFill="1" applyBorder="1" applyAlignment="1">
      <alignment wrapText="1"/>
    </xf>
    <xf numFmtId="0" fontId="2" fillId="0" borderId="24" xfId="2013" applyFont="1" applyFill="1" applyBorder="1" applyAlignment="1" applyProtection="1">
      <alignment horizontal="left" wrapText="1"/>
      <protection/>
    </xf>
    <xf numFmtId="49" fontId="2" fillId="0" borderId="24" xfId="2257" applyNumberFormat="1" applyFont="1" applyFill="1" applyBorder="1" applyAlignment="1">
      <alignment horizontal="left" wrapText="1"/>
      <protection/>
    </xf>
    <xf numFmtId="4" fontId="2" fillId="0" borderId="24" xfId="2162" applyNumberFormat="1" applyFont="1" applyFill="1" applyBorder="1" applyAlignment="1">
      <alignment horizontal="center" wrapText="1"/>
      <protection/>
    </xf>
    <xf numFmtId="2" fontId="2" fillId="0" borderId="24" xfId="0" applyNumberFormat="1" applyFont="1" applyFill="1" applyBorder="1" applyAlignment="1">
      <alignment horizontal="center" wrapText="1"/>
    </xf>
    <xf numFmtId="4" fontId="2" fillId="0" borderId="27" xfId="0" applyNumberFormat="1" applyFont="1" applyFill="1" applyBorder="1" applyAlignment="1">
      <alignment horizontal="center" wrapText="1"/>
    </xf>
    <xf numFmtId="0" fontId="2" fillId="0" borderId="24" xfId="2151" applyFont="1" applyFill="1" applyBorder="1" applyAlignment="1">
      <alignment horizontal="center"/>
      <protection/>
    </xf>
    <xf numFmtId="49" fontId="2" fillId="0" borderId="27" xfId="2144" applyNumberFormat="1" applyFont="1" applyFill="1" applyBorder="1" applyAlignment="1">
      <alignment horizontal="center"/>
      <protection/>
    </xf>
    <xf numFmtId="0" fontId="2" fillId="0" borderId="25" xfId="0" applyFont="1" applyFill="1" applyBorder="1" applyAlignment="1">
      <alignment horizontal="center"/>
    </xf>
  </cellXfs>
  <cellStyles count="2675">
    <cellStyle name="Normal" xfId="0"/>
    <cellStyle name="20% - Accent1" xfId="15"/>
    <cellStyle name="20% - Accent1 2" xfId="16"/>
    <cellStyle name="20% - Accent1 2 10" xfId="17"/>
    <cellStyle name="20% - Accent1 2 10 2" xfId="18"/>
    <cellStyle name="20% - Accent1 2 11" xfId="19"/>
    <cellStyle name="20% - Accent1 2 11 2" xfId="20"/>
    <cellStyle name="20% - Accent1 2 12" xfId="21"/>
    <cellStyle name="20% - Accent1 2 12 2" xfId="22"/>
    <cellStyle name="20% - Accent1 2 13" xfId="23"/>
    <cellStyle name="20% - Accent1 2 13 2" xfId="24"/>
    <cellStyle name="20% - Accent1 2 14" xfId="25"/>
    <cellStyle name="20% - Accent1 2 14 2" xfId="26"/>
    <cellStyle name="20% - Accent1 2 15" xfId="27"/>
    <cellStyle name="20% - Accent1 2 15 2" xfId="28"/>
    <cellStyle name="20% - Accent1 2 16" xfId="29"/>
    <cellStyle name="20% - Accent1 2 16 2" xfId="30"/>
    <cellStyle name="20% - Accent1 2 17" xfId="31"/>
    <cellStyle name="20% - Accent1 2 17 2" xfId="32"/>
    <cellStyle name="20% - Accent1 2 18" xfId="33"/>
    <cellStyle name="20% - Accent1 2 2" xfId="34"/>
    <cellStyle name="20% - Accent1 2 2 2" xfId="35"/>
    <cellStyle name="20% - Accent1 2 3" xfId="36"/>
    <cellStyle name="20% - Accent1 2 3 2" xfId="37"/>
    <cellStyle name="20% - Accent1 2 4" xfId="38"/>
    <cellStyle name="20% - Accent1 2 4 2" xfId="39"/>
    <cellStyle name="20% - Accent1 2 5" xfId="40"/>
    <cellStyle name="20% - Accent1 2 5 2" xfId="41"/>
    <cellStyle name="20% - Accent1 2 6" xfId="42"/>
    <cellStyle name="20% - Accent1 2 6 2" xfId="43"/>
    <cellStyle name="20% - Accent1 2 7" xfId="44"/>
    <cellStyle name="20% - Accent1 2 7 2" xfId="45"/>
    <cellStyle name="20% - Accent1 2 8" xfId="46"/>
    <cellStyle name="20% - Accent1 2 8 2" xfId="47"/>
    <cellStyle name="20% - Accent1 2 9" xfId="48"/>
    <cellStyle name="20% - Accent1 2 9 2" xfId="49"/>
    <cellStyle name="20% - Accent1 3 10" xfId="50"/>
    <cellStyle name="20% - Accent1 3 10 2" xfId="51"/>
    <cellStyle name="20% - Accent1 3 11" xfId="52"/>
    <cellStyle name="20% - Accent1 3 11 2" xfId="53"/>
    <cellStyle name="20% - Accent1 3 12" xfId="54"/>
    <cellStyle name="20% - Accent1 3 12 2" xfId="55"/>
    <cellStyle name="20% - Accent1 3 13" xfId="56"/>
    <cellStyle name="20% - Accent1 3 13 2" xfId="57"/>
    <cellStyle name="20% - Accent1 3 14" xfId="58"/>
    <cellStyle name="20% - Accent1 3 14 2" xfId="59"/>
    <cellStyle name="20% - Accent1 3 15" xfId="60"/>
    <cellStyle name="20% - Accent1 3 15 2" xfId="61"/>
    <cellStyle name="20% - Accent1 3 16" xfId="62"/>
    <cellStyle name="20% - Accent1 3 16 2" xfId="63"/>
    <cellStyle name="20% - Accent1 3 17" xfId="64"/>
    <cellStyle name="20% - Accent1 3 17 2" xfId="65"/>
    <cellStyle name="20% - Accent1 3 2" xfId="66"/>
    <cellStyle name="20% - Accent1 3 2 2" xfId="67"/>
    <cellStyle name="20% - Accent1 3 3" xfId="68"/>
    <cellStyle name="20% - Accent1 3 3 2" xfId="69"/>
    <cellStyle name="20% - Accent1 3 4" xfId="70"/>
    <cellStyle name="20% - Accent1 3 4 2" xfId="71"/>
    <cellStyle name="20% - Accent1 3 5" xfId="72"/>
    <cellStyle name="20% - Accent1 3 5 2" xfId="73"/>
    <cellStyle name="20% - Accent1 3 6" xfId="74"/>
    <cellStyle name="20% - Accent1 3 6 2" xfId="75"/>
    <cellStyle name="20% - Accent1 3 7" xfId="76"/>
    <cellStyle name="20% - Accent1 3 7 2" xfId="77"/>
    <cellStyle name="20% - Accent1 3 8" xfId="78"/>
    <cellStyle name="20% - Accent1 3 8 2" xfId="79"/>
    <cellStyle name="20% - Accent1 3 9" xfId="80"/>
    <cellStyle name="20% - Accent1 3 9 2" xfId="81"/>
    <cellStyle name="20% - Accent2" xfId="82"/>
    <cellStyle name="20% - Accent2 2" xfId="83"/>
    <cellStyle name="20% - Accent2 2 10" xfId="84"/>
    <cellStyle name="20% - Accent2 2 10 2" xfId="85"/>
    <cellStyle name="20% - Accent2 2 11" xfId="86"/>
    <cellStyle name="20% - Accent2 2 11 2" xfId="87"/>
    <cellStyle name="20% - Accent2 2 12" xfId="88"/>
    <cellStyle name="20% - Accent2 2 12 2" xfId="89"/>
    <cellStyle name="20% - Accent2 2 13" xfId="90"/>
    <cellStyle name="20% - Accent2 2 13 2" xfId="91"/>
    <cellStyle name="20% - Accent2 2 14" xfId="92"/>
    <cellStyle name="20% - Accent2 2 14 2" xfId="93"/>
    <cellStyle name="20% - Accent2 2 15" xfId="94"/>
    <cellStyle name="20% - Accent2 2 15 2" xfId="95"/>
    <cellStyle name="20% - Accent2 2 16" xfId="96"/>
    <cellStyle name="20% - Accent2 2 16 2" xfId="97"/>
    <cellStyle name="20% - Accent2 2 17" xfId="98"/>
    <cellStyle name="20% - Accent2 2 17 2" xfId="99"/>
    <cellStyle name="20% - Accent2 2 18" xfId="100"/>
    <cellStyle name="20% - Accent2 2 2" xfId="101"/>
    <cellStyle name="20% - Accent2 2 2 2" xfId="102"/>
    <cellStyle name="20% - Accent2 2 3" xfId="103"/>
    <cellStyle name="20% - Accent2 2 3 2" xfId="104"/>
    <cellStyle name="20% - Accent2 2 4" xfId="105"/>
    <cellStyle name="20% - Accent2 2 4 2" xfId="106"/>
    <cellStyle name="20% - Accent2 2 5" xfId="107"/>
    <cellStyle name="20% - Accent2 2 5 2" xfId="108"/>
    <cellStyle name="20% - Accent2 2 6" xfId="109"/>
    <cellStyle name="20% - Accent2 2 6 2" xfId="110"/>
    <cellStyle name="20% - Accent2 2 7" xfId="111"/>
    <cellStyle name="20% - Accent2 2 7 2" xfId="112"/>
    <cellStyle name="20% - Accent2 2 8" xfId="113"/>
    <cellStyle name="20% - Accent2 2 8 2" xfId="114"/>
    <cellStyle name="20% - Accent2 2 9" xfId="115"/>
    <cellStyle name="20% - Accent2 2 9 2" xfId="116"/>
    <cellStyle name="20% - Accent2 3 10" xfId="117"/>
    <cellStyle name="20% - Accent2 3 10 2" xfId="118"/>
    <cellStyle name="20% - Accent2 3 11" xfId="119"/>
    <cellStyle name="20% - Accent2 3 11 2" xfId="120"/>
    <cellStyle name="20% - Accent2 3 12" xfId="121"/>
    <cellStyle name="20% - Accent2 3 12 2" xfId="122"/>
    <cellStyle name="20% - Accent2 3 13" xfId="123"/>
    <cellStyle name="20% - Accent2 3 13 2" xfId="124"/>
    <cellStyle name="20% - Accent2 3 14" xfId="125"/>
    <cellStyle name="20% - Accent2 3 14 2" xfId="126"/>
    <cellStyle name="20% - Accent2 3 15" xfId="127"/>
    <cellStyle name="20% - Accent2 3 15 2" xfId="128"/>
    <cellStyle name="20% - Accent2 3 16" xfId="129"/>
    <cellStyle name="20% - Accent2 3 16 2" xfId="130"/>
    <cellStyle name="20% - Accent2 3 17" xfId="131"/>
    <cellStyle name="20% - Accent2 3 17 2" xfId="132"/>
    <cellStyle name="20% - Accent2 3 2" xfId="133"/>
    <cellStyle name="20% - Accent2 3 2 2" xfId="134"/>
    <cellStyle name="20% - Accent2 3 3" xfId="135"/>
    <cellStyle name="20% - Accent2 3 3 2" xfId="136"/>
    <cellStyle name="20% - Accent2 3 4" xfId="137"/>
    <cellStyle name="20% - Accent2 3 4 2" xfId="138"/>
    <cellStyle name="20% - Accent2 3 5" xfId="139"/>
    <cellStyle name="20% - Accent2 3 5 2" xfId="140"/>
    <cellStyle name="20% - Accent2 3 6" xfId="141"/>
    <cellStyle name="20% - Accent2 3 6 2" xfId="142"/>
    <cellStyle name="20% - Accent2 3 7" xfId="143"/>
    <cellStyle name="20% - Accent2 3 7 2" xfId="144"/>
    <cellStyle name="20% - Accent2 3 8" xfId="145"/>
    <cellStyle name="20% - Accent2 3 8 2" xfId="146"/>
    <cellStyle name="20% - Accent2 3 9" xfId="147"/>
    <cellStyle name="20% - Accent2 3 9 2" xfId="148"/>
    <cellStyle name="20% - Accent3" xfId="149"/>
    <cellStyle name="20% - Accent3 2" xfId="150"/>
    <cellStyle name="20% - Accent3 2 10" xfId="151"/>
    <cellStyle name="20% - Accent3 2 10 2" xfId="152"/>
    <cellStyle name="20% - Accent3 2 11" xfId="153"/>
    <cellStyle name="20% - Accent3 2 11 2" xfId="154"/>
    <cellStyle name="20% - Accent3 2 12" xfId="155"/>
    <cellStyle name="20% - Accent3 2 12 2" xfId="156"/>
    <cellStyle name="20% - Accent3 2 13" xfId="157"/>
    <cellStyle name="20% - Accent3 2 13 2" xfId="158"/>
    <cellStyle name="20% - Accent3 2 14" xfId="159"/>
    <cellStyle name="20% - Accent3 2 14 2" xfId="160"/>
    <cellStyle name="20% - Accent3 2 15" xfId="161"/>
    <cellStyle name="20% - Accent3 2 15 2" xfId="162"/>
    <cellStyle name="20% - Accent3 2 16" xfId="163"/>
    <cellStyle name="20% - Accent3 2 16 2" xfId="164"/>
    <cellStyle name="20% - Accent3 2 17" xfId="165"/>
    <cellStyle name="20% - Accent3 2 17 2" xfId="166"/>
    <cellStyle name="20% - Accent3 2 18" xfId="167"/>
    <cellStyle name="20% - Accent3 2 2" xfId="168"/>
    <cellStyle name="20% - Accent3 2 2 2" xfId="169"/>
    <cellStyle name="20% - Accent3 2 3" xfId="170"/>
    <cellStyle name="20% - Accent3 2 3 2" xfId="171"/>
    <cellStyle name="20% - Accent3 2 4" xfId="172"/>
    <cellStyle name="20% - Accent3 2 4 2" xfId="173"/>
    <cellStyle name="20% - Accent3 2 5" xfId="174"/>
    <cellStyle name="20% - Accent3 2 5 2" xfId="175"/>
    <cellStyle name="20% - Accent3 2 6" xfId="176"/>
    <cellStyle name="20% - Accent3 2 6 2" xfId="177"/>
    <cellStyle name="20% - Accent3 2 7" xfId="178"/>
    <cellStyle name="20% - Accent3 2 7 2" xfId="179"/>
    <cellStyle name="20% - Accent3 2 8" xfId="180"/>
    <cellStyle name="20% - Accent3 2 8 2" xfId="181"/>
    <cellStyle name="20% - Accent3 2 9" xfId="182"/>
    <cellStyle name="20% - Accent3 2 9 2" xfId="183"/>
    <cellStyle name="20% - Accent3 3 10" xfId="184"/>
    <cellStyle name="20% - Accent3 3 10 2" xfId="185"/>
    <cellStyle name="20% - Accent3 3 11" xfId="186"/>
    <cellStyle name="20% - Accent3 3 11 2" xfId="187"/>
    <cellStyle name="20% - Accent3 3 12" xfId="188"/>
    <cellStyle name="20% - Accent3 3 12 2" xfId="189"/>
    <cellStyle name="20% - Accent3 3 13" xfId="190"/>
    <cellStyle name="20% - Accent3 3 13 2" xfId="191"/>
    <cellStyle name="20% - Accent3 3 14" xfId="192"/>
    <cellStyle name="20% - Accent3 3 14 2" xfId="193"/>
    <cellStyle name="20% - Accent3 3 15" xfId="194"/>
    <cellStyle name="20% - Accent3 3 15 2" xfId="195"/>
    <cellStyle name="20% - Accent3 3 16" xfId="196"/>
    <cellStyle name="20% - Accent3 3 16 2" xfId="197"/>
    <cellStyle name="20% - Accent3 3 17" xfId="198"/>
    <cellStyle name="20% - Accent3 3 17 2" xfId="199"/>
    <cellStyle name="20% - Accent3 3 2" xfId="200"/>
    <cellStyle name="20% - Accent3 3 2 2" xfId="201"/>
    <cellStyle name="20% - Accent3 3 3" xfId="202"/>
    <cellStyle name="20% - Accent3 3 3 2" xfId="203"/>
    <cellStyle name="20% - Accent3 3 4" xfId="204"/>
    <cellStyle name="20% - Accent3 3 4 2" xfId="205"/>
    <cellStyle name="20% - Accent3 3 5" xfId="206"/>
    <cellStyle name="20% - Accent3 3 5 2" xfId="207"/>
    <cellStyle name="20% - Accent3 3 6" xfId="208"/>
    <cellStyle name="20% - Accent3 3 6 2" xfId="209"/>
    <cellStyle name="20% - Accent3 3 7" xfId="210"/>
    <cellStyle name="20% - Accent3 3 7 2" xfId="211"/>
    <cellStyle name="20% - Accent3 3 8" xfId="212"/>
    <cellStyle name="20% - Accent3 3 8 2" xfId="213"/>
    <cellStyle name="20% - Accent3 3 9" xfId="214"/>
    <cellStyle name="20% - Accent3 3 9 2" xfId="215"/>
    <cellStyle name="20% - Accent4" xfId="216"/>
    <cellStyle name="20% - Accent4 2" xfId="217"/>
    <cellStyle name="20% - Accent4 2 10" xfId="218"/>
    <cellStyle name="20% - Accent4 2 10 2" xfId="219"/>
    <cellStyle name="20% - Accent4 2 11" xfId="220"/>
    <cellStyle name="20% - Accent4 2 11 2" xfId="221"/>
    <cellStyle name="20% - Accent4 2 12" xfId="222"/>
    <cellStyle name="20% - Accent4 2 12 2" xfId="223"/>
    <cellStyle name="20% - Accent4 2 13" xfId="224"/>
    <cellStyle name="20% - Accent4 2 13 2" xfId="225"/>
    <cellStyle name="20% - Accent4 2 14" xfId="226"/>
    <cellStyle name="20% - Accent4 2 14 2" xfId="227"/>
    <cellStyle name="20% - Accent4 2 15" xfId="228"/>
    <cellStyle name="20% - Accent4 2 15 2" xfId="229"/>
    <cellStyle name="20% - Accent4 2 16" xfId="230"/>
    <cellStyle name="20% - Accent4 2 16 2" xfId="231"/>
    <cellStyle name="20% - Accent4 2 17" xfId="232"/>
    <cellStyle name="20% - Accent4 2 17 2" xfId="233"/>
    <cellStyle name="20% - Accent4 2 18" xfId="234"/>
    <cellStyle name="20% - Accent4 2 2" xfId="235"/>
    <cellStyle name="20% - Accent4 2 2 2" xfId="236"/>
    <cellStyle name="20% - Accent4 2 3" xfId="237"/>
    <cellStyle name="20% - Accent4 2 3 2" xfId="238"/>
    <cellStyle name="20% - Accent4 2 4" xfId="239"/>
    <cellStyle name="20% - Accent4 2 4 2" xfId="240"/>
    <cellStyle name="20% - Accent4 2 5" xfId="241"/>
    <cellStyle name="20% - Accent4 2 5 2" xfId="242"/>
    <cellStyle name="20% - Accent4 2 6" xfId="243"/>
    <cellStyle name="20% - Accent4 2 6 2" xfId="244"/>
    <cellStyle name="20% - Accent4 2 7" xfId="245"/>
    <cellStyle name="20% - Accent4 2 7 2" xfId="246"/>
    <cellStyle name="20% - Accent4 2 8" xfId="247"/>
    <cellStyle name="20% - Accent4 2 8 2" xfId="248"/>
    <cellStyle name="20% - Accent4 2 9" xfId="249"/>
    <cellStyle name="20% - Accent4 2 9 2" xfId="250"/>
    <cellStyle name="20% - Accent4 3 10" xfId="251"/>
    <cellStyle name="20% - Accent4 3 10 2" xfId="252"/>
    <cellStyle name="20% - Accent4 3 11" xfId="253"/>
    <cellStyle name="20% - Accent4 3 11 2" xfId="254"/>
    <cellStyle name="20% - Accent4 3 12" xfId="255"/>
    <cellStyle name="20% - Accent4 3 12 2" xfId="256"/>
    <cellStyle name="20% - Accent4 3 13" xfId="257"/>
    <cellStyle name="20% - Accent4 3 13 2" xfId="258"/>
    <cellStyle name="20% - Accent4 3 14" xfId="259"/>
    <cellStyle name="20% - Accent4 3 14 2" xfId="260"/>
    <cellStyle name="20% - Accent4 3 15" xfId="261"/>
    <cellStyle name="20% - Accent4 3 15 2" xfId="262"/>
    <cellStyle name="20% - Accent4 3 16" xfId="263"/>
    <cellStyle name="20% - Accent4 3 16 2" xfId="264"/>
    <cellStyle name="20% - Accent4 3 17" xfId="265"/>
    <cellStyle name="20% - Accent4 3 17 2" xfId="266"/>
    <cellStyle name="20% - Accent4 3 2" xfId="267"/>
    <cellStyle name="20% - Accent4 3 2 2" xfId="268"/>
    <cellStyle name="20% - Accent4 3 3" xfId="269"/>
    <cellStyle name="20% - Accent4 3 3 2" xfId="270"/>
    <cellStyle name="20% - Accent4 3 4" xfId="271"/>
    <cellStyle name="20% - Accent4 3 4 2" xfId="272"/>
    <cellStyle name="20% - Accent4 3 5" xfId="273"/>
    <cellStyle name="20% - Accent4 3 5 2" xfId="274"/>
    <cellStyle name="20% - Accent4 3 6" xfId="275"/>
    <cellStyle name="20% - Accent4 3 6 2" xfId="276"/>
    <cellStyle name="20% - Accent4 3 7" xfId="277"/>
    <cellStyle name="20% - Accent4 3 7 2" xfId="278"/>
    <cellStyle name="20% - Accent4 3 8" xfId="279"/>
    <cellStyle name="20% - Accent4 3 8 2" xfId="280"/>
    <cellStyle name="20% - Accent4 3 9" xfId="281"/>
    <cellStyle name="20% - Accent4 3 9 2" xfId="282"/>
    <cellStyle name="20% - Accent5" xfId="283"/>
    <cellStyle name="20% - Accent5 2" xfId="284"/>
    <cellStyle name="20% - Accent5 2 10" xfId="285"/>
    <cellStyle name="20% - Accent5 2 10 2" xfId="286"/>
    <cellStyle name="20% - Accent5 2 11" xfId="287"/>
    <cellStyle name="20% - Accent5 2 11 2" xfId="288"/>
    <cellStyle name="20% - Accent5 2 12" xfId="289"/>
    <cellStyle name="20% - Accent5 2 12 2" xfId="290"/>
    <cellStyle name="20% - Accent5 2 13" xfId="291"/>
    <cellStyle name="20% - Accent5 2 13 2" xfId="292"/>
    <cellStyle name="20% - Accent5 2 14" xfId="293"/>
    <cellStyle name="20% - Accent5 2 14 2" xfId="294"/>
    <cellStyle name="20% - Accent5 2 15" xfId="295"/>
    <cellStyle name="20% - Accent5 2 15 2" xfId="296"/>
    <cellStyle name="20% - Accent5 2 16" xfId="297"/>
    <cellStyle name="20% - Accent5 2 16 2" xfId="298"/>
    <cellStyle name="20% - Accent5 2 17" xfId="299"/>
    <cellStyle name="20% - Accent5 2 17 2" xfId="300"/>
    <cellStyle name="20% - Accent5 2 18" xfId="301"/>
    <cellStyle name="20% - Accent5 2 2" xfId="302"/>
    <cellStyle name="20% - Accent5 2 2 2" xfId="303"/>
    <cellStyle name="20% - Accent5 2 3" xfId="304"/>
    <cellStyle name="20% - Accent5 2 3 2" xfId="305"/>
    <cellStyle name="20% - Accent5 2 4" xfId="306"/>
    <cellStyle name="20% - Accent5 2 4 2" xfId="307"/>
    <cellStyle name="20% - Accent5 2 5" xfId="308"/>
    <cellStyle name="20% - Accent5 2 5 2" xfId="309"/>
    <cellStyle name="20% - Accent5 2 6" xfId="310"/>
    <cellStyle name="20% - Accent5 2 6 2" xfId="311"/>
    <cellStyle name="20% - Accent5 2 7" xfId="312"/>
    <cellStyle name="20% - Accent5 2 7 2" xfId="313"/>
    <cellStyle name="20% - Accent5 2 8" xfId="314"/>
    <cellStyle name="20% - Accent5 2 8 2" xfId="315"/>
    <cellStyle name="20% - Accent5 2 9" xfId="316"/>
    <cellStyle name="20% - Accent5 2 9 2" xfId="317"/>
    <cellStyle name="20% - Accent5 3 10" xfId="318"/>
    <cellStyle name="20% - Accent5 3 10 2" xfId="319"/>
    <cellStyle name="20% - Accent5 3 11" xfId="320"/>
    <cellStyle name="20% - Accent5 3 11 2" xfId="321"/>
    <cellStyle name="20% - Accent5 3 12" xfId="322"/>
    <cellStyle name="20% - Accent5 3 12 2" xfId="323"/>
    <cellStyle name="20% - Accent5 3 13" xfId="324"/>
    <cellStyle name="20% - Accent5 3 13 2" xfId="325"/>
    <cellStyle name="20% - Accent5 3 14" xfId="326"/>
    <cellStyle name="20% - Accent5 3 14 2" xfId="327"/>
    <cellStyle name="20% - Accent5 3 15" xfId="328"/>
    <cellStyle name="20% - Accent5 3 15 2" xfId="329"/>
    <cellStyle name="20% - Accent5 3 16" xfId="330"/>
    <cellStyle name="20% - Accent5 3 16 2" xfId="331"/>
    <cellStyle name="20% - Accent5 3 17" xfId="332"/>
    <cellStyle name="20% - Accent5 3 17 2" xfId="333"/>
    <cellStyle name="20% - Accent5 3 2" xfId="334"/>
    <cellStyle name="20% - Accent5 3 2 2" xfId="335"/>
    <cellStyle name="20% - Accent5 3 3" xfId="336"/>
    <cellStyle name="20% - Accent5 3 3 2" xfId="337"/>
    <cellStyle name="20% - Accent5 3 4" xfId="338"/>
    <cellStyle name="20% - Accent5 3 4 2" xfId="339"/>
    <cellStyle name="20% - Accent5 3 5" xfId="340"/>
    <cellStyle name="20% - Accent5 3 5 2" xfId="341"/>
    <cellStyle name="20% - Accent5 3 6" xfId="342"/>
    <cellStyle name="20% - Accent5 3 6 2" xfId="343"/>
    <cellStyle name="20% - Accent5 3 7" xfId="344"/>
    <cellStyle name="20% - Accent5 3 7 2" xfId="345"/>
    <cellStyle name="20% - Accent5 3 8" xfId="346"/>
    <cellStyle name="20% - Accent5 3 8 2" xfId="347"/>
    <cellStyle name="20% - Accent5 3 9" xfId="348"/>
    <cellStyle name="20% - Accent5 3 9 2" xfId="349"/>
    <cellStyle name="20% - Accent6" xfId="350"/>
    <cellStyle name="20% - Accent6 2" xfId="351"/>
    <cellStyle name="20% - Accent6 2 10" xfId="352"/>
    <cellStyle name="20% - Accent6 2 10 2" xfId="353"/>
    <cellStyle name="20% - Accent6 2 11" xfId="354"/>
    <cellStyle name="20% - Accent6 2 11 2" xfId="355"/>
    <cellStyle name="20% - Accent6 2 12" xfId="356"/>
    <cellStyle name="20% - Accent6 2 12 2" xfId="357"/>
    <cellStyle name="20% - Accent6 2 13" xfId="358"/>
    <cellStyle name="20% - Accent6 2 13 2" xfId="359"/>
    <cellStyle name="20% - Accent6 2 14" xfId="360"/>
    <cellStyle name="20% - Accent6 2 14 2" xfId="361"/>
    <cellStyle name="20% - Accent6 2 15" xfId="362"/>
    <cellStyle name="20% - Accent6 2 15 2" xfId="363"/>
    <cellStyle name="20% - Accent6 2 16" xfId="364"/>
    <cellStyle name="20% - Accent6 2 16 2" xfId="365"/>
    <cellStyle name="20% - Accent6 2 17" xfId="366"/>
    <cellStyle name="20% - Accent6 2 17 2" xfId="367"/>
    <cellStyle name="20% - Accent6 2 18" xfId="368"/>
    <cellStyle name="20% - Accent6 2 2" xfId="369"/>
    <cellStyle name="20% - Accent6 2 2 2" xfId="370"/>
    <cellStyle name="20% - Accent6 2 3" xfId="371"/>
    <cellStyle name="20% - Accent6 2 3 2" xfId="372"/>
    <cellStyle name="20% - Accent6 2 4" xfId="373"/>
    <cellStyle name="20% - Accent6 2 4 2" xfId="374"/>
    <cellStyle name="20% - Accent6 2 5" xfId="375"/>
    <cellStyle name="20% - Accent6 2 5 2" xfId="376"/>
    <cellStyle name="20% - Accent6 2 6" xfId="377"/>
    <cellStyle name="20% - Accent6 2 6 2" xfId="378"/>
    <cellStyle name="20% - Accent6 2 7" xfId="379"/>
    <cellStyle name="20% - Accent6 2 7 2" xfId="380"/>
    <cellStyle name="20% - Accent6 2 8" xfId="381"/>
    <cellStyle name="20% - Accent6 2 8 2" xfId="382"/>
    <cellStyle name="20% - Accent6 2 9" xfId="383"/>
    <cellStyle name="20% - Accent6 2 9 2" xfId="384"/>
    <cellStyle name="20% - Accent6 3 10" xfId="385"/>
    <cellStyle name="20% - Accent6 3 10 2" xfId="386"/>
    <cellStyle name="20% - Accent6 3 11" xfId="387"/>
    <cellStyle name="20% - Accent6 3 11 2" xfId="388"/>
    <cellStyle name="20% - Accent6 3 12" xfId="389"/>
    <cellStyle name="20% - Accent6 3 12 2" xfId="390"/>
    <cellStyle name="20% - Accent6 3 13" xfId="391"/>
    <cellStyle name="20% - Accent6 3 13 2" xfId="392"/>
    <cellStyle name="20% - Accent6 3 14" xfId="393"/>
    <cellStyle name="20% - Accent6 3 14 2" xfId="394"/>
    <cellStyle name="20% - Accent6 3 15" xfId="395"/>
    <cellStyle name="20% - Accent6 3 15 2" xfId="396"/>
    <cellStyle name="20% - Accent6 3 16" xfId="397"/>
    <cellStyle name="20% - Accent6 3 16 2" xfId="398"/>
    <cellStyle name="20% - Accent6 3 17" xfId="399"/>
    <cellStyle name="20% - Accent6 3 17 2" xfId="400"/>
    <cellStyle name="20% - Accent6 3 2" xfId="401"/>
    <cellStyle name="20% - Accent6 3 2 2" xfId="402"/>
    <cellStyle name="20% - Accent6 3 3" xfId="403"/>
    <cellStyle name="20% - Accent6 3 3 2" xfId="404"/>
    <cellStyle name="20% - Accent6 3 4" xfId="405"/>
    <cellStyle name="20% - Accent6 3 4 2" xfId="406"/>
    <cellStyle name="20% - Accent6 3 5" xfId="407"/>
    <cellStyle name="20% - Accent6 3 5 2" xfId="408"/>
    <cellStyle name="20% - Accent6 3 6" xfId="409"/>
    <cellStyle name="20% - Accent6 3 6 2" xfId="410"/>
    <cellStyle name="20% - Accent6 3 7" xfId="411"/>
    <cellStyle name="20% - Accent6 3 7 2" xfId="412"/>
    <cellStyle name="20% - Accent6 3 8" xfId="413"/>
    <cellStyle name="20% - Accent6 3 8 2" xfId="414"/>
    <cellStyle name="20% - Accent6 3 9" xfId="415"/>
    <cellStyle name="20% - Accent6 3 9 2" xfId="416"/>
    <cellStyle name="20% - Colore 1" xfId="417"/>
    <cellStyle name="20% - Colore 1 10" xfId="418"/>
    <cellStyle name="20% - Colore 1 10 2" xfId="419"/>
    <cellStyle name="20% - Colore 1 10 3" xfId="420"/>
    <cellStyle name="20% - Colore 1 11" xfId="421"/>
    <cellStyle name="20% - Colore 1 11 2" xfId="422"/>
    <cellStyle name="20% - Colore 1 11 3" xfId="423"/>
    <cellStyle name="20% - Colore 1 12" xfId="424"/>
    <cellStyle name="20% - Colore 1 12 2" xfId="425"/>
    <cellStyle name="20% - Colore 1 12 3" xfId="426"/>
    <cellStyle name="20% - Colore 1 13" xfId="427"/>
    <cellStyle name="20% - Colore 1 13 2" xfId="428"/>
    <cellStyle name="20% - Colore 1 13 3" xfId="429"/>
    <cellStyle name="20% - Colore 1 14" xfId="430"/>
    <cellStyle name="20% - Colore 1 14 2" xfId="431"/>
    <cellStyle name="20% - Colore 1 14 3" xfId="432"/>
    <cellStyle name="20% - Colore 1 15" xfId="433"/>
    <cellStyle name="20% - Colore 1 15 2" xfId="434"/>
    <cellStyle name="20% - Colore 1 15 3" xfId="435"/>
    <cellStyle name="20% - Colore 1 16" xfId="436"/>
    <cellStyle name="20% - Colore 1 16 2" xfId="437"/>
    <cellStyle name="20% - Colore 1 17" xfId="438"/>
    <cellStyle name="20% - Colore 1 18" xfId="439"/>
    <cellStyle name="20% - Colore 1 19" xfId="440"/>
    <cellStyle name="20% - Colore 1 2" xfId="441"/>
    <cellStyle name="20% - Colore 1 2 2" xfId="442"/>
    <cellStyle name="20% - Colore 1 2 3" xfId="443"/>
    <cellStyle name="20% - Colore 1 3" xfId="444"/>
    <cellStyle name="20% - Colore 1 3 2" xfId="445"/>
    <cellStyle name="20% - Colore 1 3 3" xfId="446"/>
    <cellStyle name="20% - Colore 1 4" xfId="447"/>
    <cellStyle name="20% - Colore 1 4 2" xfId="448"/>
    <cellStyle name="20% - Colore 1 4 3" xfId="449"/>
    <cellStyle name="20% - Colore 1 5" xfId="450"/>
    <cellStyle name="20% - Colore 1 5 2" xfId="451"/>
    <cellStyle name="20% - Colore 1 5 3" xfId="452"/>
    <cellStyle name="20% - Colore 1 6" xfId="453"/>
    <cellStyle name="20% - Colore 1 6 2" xfId="454"/>
    <cellStyle name="20% - Colore 1 6 3" xfId="455"/>
    <cellStyle name="20% - Colore 1 7" xfId="456"/>
    <cellStyle name="20% - Colore 1 7 2" xfId="457"/>
    <cellStyle name="20% - Colore 1 7 3" xfId="458"/>
    <cellStyle name="20% - Colore 1 8" xfId="459"/>
    <cellStyle name="20% - Colore 1 8 2" xfId="460"/>
    <cellStyle name="20% - Colore 1 8 3" xfId="461"/>
    <cellStyle name="20% - Colore 1 9" xfId="462"/>
    <cellStyle name="20% - Colore 1 9 2" xfId="463"/>
    <cellStyle name="20% - Colore 1 9 3" xfId="464"/>
    <cellStyle name="20% - Colore 2" xfId="465"/>
    <cellStyle name="20% - Colore 2 10" xfId="466"/>
    <cellStyle name="20% - Colore 2 10 2" xfId="467"/>
    <cellStyle name="20% - Colore 2 10 3" xfId="468"/>
    <cellStyle name="20% - Colore 2 11" xfId="469"/>
    <cellStyle name="20% - Colore 2 11 2" xfId="470"/>
    <cellStyle name="20% - Colore 2 11 3" xfId="471"/>
    <cellStyle name="20% - Colore 2 12" xfId="472"/>
    <cellStyle name="20% - Colore 2 12 2" xfId="473"/>
    <cellStyle name="20% - Colore 2 12 3" xfId="474"/>
    <cellStyle name="20% - Colore 2 13" xfId="475"/>
    <cellStyle name="20% - Colore 2 13 2" xfId="476"/>
    <cellStyle name="20% - Colore 2 13 3" xfId="477"/>
    <cellStyle name="20% - Colore 2 14" xfId="478"/>
    <cellStyle name="20% - Colore 2 14 2" xfId="479"/>
    <cellStyle name="20% - Colore 2 14 3" xfId="480"/>
    <cellStyle name="20% - Colore 2 15" xfId="481"/>
    <cellStyle name="20% - Colore 2 15 2" xfId="482"/>
    <cellStyle name="20% - Colore 2 15 3" xfId="483"/>
    <cellStyle name="20% - Colore 2 16" xfId="484"/>
    <cellStyle name="20% - Colore 2 16 2" xfId="485"/>
    <cellStyle name="20% - Colore 2 17" xfId="486"/>
    <cellStyle name="20% - Colore 2 18" xfId="487"/>
    <cellStyle name="20% - Colore 2 19" xfId="488"/>
    <cellStyle name="20% - Colore 2 2" xfId="489"/>
    <cellStyle name="20% - Colore 2 2 2" xfId="490"/>
    <cellStyle name="20% - Colore 2 2 3" xfId="491"/>
    <cellStyle name="20% - Colore 2 3" xfId="492"/>
    <cellStyle name="20% - Colore 2 3 2" xfId="493"/>
    <cellStyle name="20% - Colore 2 3 3" xfId="494"/>
    <cellStyle name="20% - Colore 2 4" xfId="495"/>
    <cellStyle name="20% - Colore 2 4 2" xfId="496"/>
    <cellStyle name="20% - Colore 2 4 3" xfId="497"/>
    <cellStyle name="20% - Colore 2 5" xfId="498"/>
    <cellStyle name="20% - Colore 2 5 2" xfId="499"/>
    <cellStyle name="20% - Colore 2 5 3" xfId="500"/>
    <cellStyle name="20% - Colore 2 6" xfId="501"/>
    <cellStyle name="20% - Colore 2 6 2" xfId="502"/>
    <cellStyle name="20% - Colore 2 6 3" xfId="503"/>
    <cellStyle name="20% - Colore 2 7" xfId="504"/>
    <cellStyle name="20% - Colore 2 7 2" xfId="505"/>
    <cellStyle name="20% - Colore 2 7 3" xfId="506"/>
    <cellStyle name="20% - Colore 2 8" xfId="507"/>
    <cellStyle name="20% - Colore 2 8 2" xfId="508"/>
    <cellStyle name="20% - Colore 2 8 3" xfId="509"/>
    <cellStyle name="20% - Colore 2 9" xfId="510"/>
    <cellStyle name="20% - Colore 2 9 2" xfId="511"/>
    <cellStyle name="20% - Colore 2 9 3" xfId="512"/>
    <cellStyle name="20% - Colore 3" xfId="513"/>
    <cellStyle name="20% - Colore 3 10" xfId="514"/>
    <cellStyle name="20% - Colore 3 10 2" xfId="515"/>
    <cellStyle name="20% - Colore 3 10 3" xfId="516"/>
    <cellStyle name="20% - Colore 3 11" xfId="517"/>
    <cellStyle name="20% - Colore 3 11 2" xfId="518"/>
    <cellStyle name="20% - Colore 3 11 3" xfId="519"/>
    <cellStyle name="20% - Colore 3 12" xfId="520"/>
    <cellStyle name="20% - Colore 3 12 2" xfId="521"/>
    <cellStyle name="20% - Colore 3 12 3" xfId="522"/>
    <cellStyle name="20% - Colore 3 13" xfId="523"/>
    <cellStyle name="20% - Colore 3 13 2" xfId="524"/>
    <cellStyle name="20% - Colore 3 13 3" xfId="525"/>
    <cellStyle name="20% - Colore 3 14" xfId="526"/>
    <cellStyle name="20% - Colore 3 14 2" xfId="527"/>
    <cellStyle name="20% - Colore 3 14 3" xfId="528"/>
    <cellStyle name="20% - Colore 3 15" xfId="529"/>
    <cellStyle name="20% - Colore 3 15 2" xfId="530"/>
    <cellStyle name="20% - Colore 3 15 3" xfId="531"/>
    <cellStyle name="20% - Colore 3 16" xfId="532"/>
    <cellStyle name="20% - Colore 3 16 2" xfId="533"/>
    <cellStyle name="20% - Colore 3 17" xfId="534"/>
    <cellStyle name="20% - Colore 3 18" xfId="535"/>
    <cellStyle name="20% - Colore 3 19" xfId="536"/>
    <cellStyle name="20% - Colore 3 2" xfId="537"/>
    <cellStyle name="20% - Colore 3 2 2" xfId="538"/>
    <cellStyle name="20% - Colore 3 2 3" xfId="539"/>
    <cellStyle name="20% - Colore 3 3" xfId="540"/>
    <cellStyle name="20% - Colore 3 3 2" xfId="541"/>
    <cellStyle name="20% - Colore 3 3 3" xfId="542"/>
    <cellStyle name="20% - Colore 3 4" xfId="543"/>
    <cellStyle name="20% - Colore 3 4 2" xfId="544"/>
    <cellStyle name="20% - Colore 3 4 3" xfId="545"/>
    <cellStyle name="20% - Colore 3 5" xfId="546"/>
    <cellStyle name="20% - Colore 3 5 2" xfId="547"/>
    <cellStyle name="20% - Colore 3 5 3" xfId="548"/>
    <cellStyle name="20% - Colore 3 6" xfId="549"/>
    <cellStyle name="20% - Colore 3 6 2" xfId="550"/>
    <cellStyle name="20% - Colore 3 6 3" xfId="551"/>
    <cellStyle name="20% - Colore 3 7" xfId="552"/>
    <cellStyle name="20% - Colore 3 7 2" xfId="553"/>
    <cellStyle name="20% - Colore 3 7 3" xfId="554"/>
    <cellStyle name="20% - Colore 3 8" xfId="555"/>
    <cellStyle name="20% - Colore 3 8 2" xfId="556"/>
    <cellStyle name="20% - Colore 3 8 3" xfId="557"/>
    <cellStyle name="20% - Colore 3 9" xfId="558"/>
    <cellStyle name="20% - Colore 3 9 2" xfId="559"/>
    <cellStyle name="20% - Colore 3 9 3" xfId="560"/>
    <cellStyle name="20% - Colore 4" xfId="561"/>
    <cellStyle name="20% - Colore 4 10" xfId="562"/>
    <cellStyle name="20% - Colore 4 10 2" xfId="563"/>
    <cellStyle name="20% - Colore 4 10 3" xfId="564"/>
    <cellStyle name="20% - Colore 4 11" xfId="565"/>
    <cellStyle name="20% - Colore 4 11 2" xfId="566"/>
    <cellStyle name="20% - Colore 4 11 3" xfId="567"/>
    <cellStyle name="20% - Colore 4 12" xfId="568"/>
    <cellStyle name="20% - Colore 4 12 2" xfId="569"/>
    <cellStyle name="20% - Colore 4 12 3" xfId="570"/>
    <cellStyle name="20% - Colore 4 13" xfId="571"/>
    <cellStyle name="20% - Colore 4 13 2" xfId="572"/>
    <cellStyle name="20% - Colore 4 13 3" xfId="573"/>
    <cellStyle name="20% - Colore 4 14" xfId="574"/>
    <cellStyle name="20% - Colore 4 14 2" xfId="575"/>
    <cellStyle name="20% - Colore 4 14 3" xfId="576"/>
    <cellStyle name="20% - Colore 4 15" xfId="577"/>
    <cellStyle name="20% - Colore 4 15 2" xfId="578"/>
    <cellStyle name="20% - Colore 4 15 3" xfId="579"/>
    <cellStyle name="20% - Colore 4 16" xfId="580"/>
    <cellStyle name="20% - Colore 4 16 2" xfId="581"/>
    <cellStyle name="20% - Colore 4 17" xfId="582"/>
    <cellStyle name="20% - Colore 4 18" xfId="583"/>
    <cellStyle name="20% - Colore 4 19" xfId="584"/>
    <cellStyle name="20% - Colore 4 2" xfId="585"/>
    <cellStyle name="20% - Colore 4 2 2" xfId="586"/>
    <cellStyle name="20% - Colore 4 2 3" xfId="587"/>
    <cellStyle name="20% - Colore 4 3" xfId="588"/>
    <cellStyle name="20% - Colore 4 3 2" xfId="589"/>
    <cellStyle name="20% - Colore 4 3 3" xfId="590"/>
    <cellStyle name="20% - Colore 4 4" xfId="591"/>
    <cellStyle name="20% - Colore 4 4 2" xfId="592"/>
    <cellStyle name="20% - Colore 4 4 3" xfId="593"/>
    <cellStyle name="20% - Colore 4 5" xfId="594"/>
    <cellStyle name="20% - Colore 4 5 2" xfId="595"/>
    <cellStyle name="20% - Colore 4 5 3" xfId="596"/>
    <cellStyle name="20% - Colore 4 6" xfId="597"/>
    <cellStyle name="20% - Colore 4 6 2" xfId="598"/>
    <cellStyle name="20% - Colore 4 6 3" xfId="599"/>
    <cellStyle name="20% - Colore 4 7" xfId="600"/>
    <cellStyle name="20% - Colore 4 7 2" xfId="601"/>
    <cellStyle name="20% - Colore 4 7 3" xfId="602"/>
    <cellStyle name="20% - Colore 4 8" xfId="603"/>
    <cellStyle name="20% - Colore 4 8 2" xfId="604"/>
    <cellStyle name="20% - Colore 4 8 3" xfId="605"/>
    <cellStyle name="20% - Colore 4 9" xfId="606"/>
    <cellStyle name="20% - Colore 4 9 2" xfId="607"/>
    <cellStyle name="20% - Colore 4 9 3" xfId="608"/>
    <cellStyle name="20% - Colore 5" xfId="609"/>
    <cellStyle name="20% - Colore 5 2" xfId="610"/>
    <cellStyle name="20% - Colore 5 2 2" xfId="611"/>
    <cellStyle name="20% - Colore 5 2 3" xfId="612"/>
    <cellStyle name="20% - Colore 5 3" xfId="613"/>
    <cellStyle name="20% - Colore 5 3 2" xfId="614"/>
    <cellStyle name="20% - Colore 5 3 3" xfId="615"/>
    <cellStyle name="20% - Colore 5 4" xfId="616"/>
    <cellStyle name="20% - Colore 5 4 2" xfId="617"/>
    <cellStyle name="20% - Colore 5 5" xfId="618"/>
    <cellStyle name="20% - Colore 5 6" xfId="619"/>
    <cellStyle name="20% - Colore 5 7" xfId="620"/>
    <cellStyle name="20% - Colore 6" xfId="621"/>
    <cellStyle name="20% - Colore 6 2" xfId="622"/>
    <cellStyle name="20% - Colore 6 2 2" xfId="623"/>
    <cellStyle name="20% - Colore 6 2 3" xfId="624"/>
    <cellStyle name="20% - Colore 6 3" xfId="625"/>
    <cellStyle name="20% - Colore 6 3 2" xfId="626"/>
    <cellStyle name="20% - Colore 6 3 3" xfId="627"/>
    <cellStyle name="20% - Colore 6 4" xfId="628"/>
    <cellStyle name="20% - Colore 6 4 2" xfId="629"/>
    <cellStyle name="20% - Colore 6 5" xfId="630"/>
    <cellStyle name="20% - Colore 6 6" xfId="631"/>
    <cellStyle name="20% - Colore 6 7" xfId="632"/>
    <cellStyle name="40% - Accent1" xfId="633"/>
    <cellStyle name="40% - Accent1 2" xfId="634"/>
    <cellStyle name="40% - Accent1 2 10" xfId="635"/>
    <cellStyle name="40% - Accent1 2 10 2" xfId="636"/>
    <cellStyle name="40% - Accent1 2 11" xfId="637"/>
    <cellStyle name="40% - Accent1 2 11 2" xfId="638"/>
    <cellStyle name="40% - Accent1 2 12" xfId="639"/>
    <cellStyle name="40% - Accent1 2 12 2" xfId="640"/>
    <cellStyle name="40% - Accent1 2 13" xfId="641"/>
    <cellStyle name="40% - Accent1 2 13 2" xfId="642"/>
    <cellStyle name="40% - Accent1 2 14" xfId="643"/>
    <cellStyle name="40% - Accent1 2 14 2" xfId="644"/>
    <cellStyle name="40% - Accent1 2 15" xfId="645"/>
    <cellStyle name="40% - Accent1 2 15 2" xfId="646"/>
    <cellStyle name="40% - Accent1 2 16" xfId="647"/>
    <cellStyle name="40% - Accent1 2 16 2" xfId="648"/>
    <cellStyle name="40% - Accent1 2 17" xfId="649"/>
    <cellStyle name="40% - Accent1 2 17 2" xfId="650"/>
    <cellStyle name="40% - Accent1 2 18" xfId="651"/>
    <cellStyle name="40% - Accent1 2 2" xfId="652"/>
    <cellStyle name="40% - Accent1 2 2 2" xfId="653"/>
    <cellStyle name="40% - Accent1 2 3" xfId="654"/>
    <cellStyle name="40% - Accent1 2 3 2" xfId="655"/>
    <cellStyle name="40% - Accent1 2 4" xfId="656"/>
    <cellStyle name="40% - Accent1 2 4 2" xfId="657"/>
    <cellStyle name="40% - Accent1 2 5" xfId="658"/>
    <cellStyle name="40% - Accent1 2 5 2" xfId="659"/>
    <cellStyle name="40% - Accent1 2 6" xfId="660"/>
    <cellStyle name="40% - Accent1 2 6 2" xfId="661"/>
    <cellStyle name="40% - Accent1 2 7" xfId="662"/>
    <cellStyle name="40% - Accent1 2 7 2" xfId="663"/>
    <cellStyle name="40% - Accent1 2 8" xfId="664"/>
    <cellStyle name="40% - Accent1 2 8 2" xfId="665"/>
    <cellStyle name="40% - Accent1 2 9" xfId="666"/>
    <cellStyle name="40% - Accent1 2 9 2" xfId="667"/>
    <cellStyle name="40% - Accent1 3 10" xfId="668"/>
    <cellStyle name="40% - Accent1 3 10 2" xfId="669"/>
    <cellStyle name="40% - Accent1 3 11" xfId="670"/>
    <cellStyle name="40% - Accent1 3 11 2" xfId="671"/>
    <cellStyle name="40% - Accent1 3 12" xfId="672"/>
    <cellStyle name="40% - Accent1 3 12 2" xfId="673"/>
    <cellStyle name="40% - Accent1 3 13" xfId="674"/>
    <cellStyle name="40% - Accent1 3 13 2" xfId="675"/>
    <cellStyle name="40% - Accent1 3 14" xfId="676"/>
    <cellStyle name="40% - Accent1 3 14 2" xfId="677"/>
    <cellStyle name="40% - Accent1 3 15" xfId="678"/>
    <cellStyle name="40% - Accent1 3 15 2" xfId="679"/>
    <cellStyle name="40% - Accent1 3 16" xfId="680"/>
    <cellStyle name="40% - Accent1 3 16 2" xfId="681"/>
    <cellStyle name="40% - Accent1 3 17" xfId="682"/>
    <cellStyle name="40% - Accent1 3 17 2" xfId="683"/>
    <cellStyle name="40% - Accent1 3 2" xfId="684"/>
    <cellStyle name="40% - Accent1 3 2 2" xfId="685"/>
    <cellStyle name="40% - Accent1 3 3" xfId="686"/>
    <cellStyle name="40% - Accent1 3 3 2" xfId="687"/>
    <cellStyle name="40% - Accent1 3 4" xfId="688"/>
    <cellStyle name="40% - Accent1 3 4 2" xfId="689"/>
    <cellStyle name="40% - Accent1 3 5" xfId="690"/>
    <cellStyle name="40% - Accent1 3 5 2" xfId="691"/>
    <cellStyle name="40% - Accent1 3 6" xfId="692"/>
    <cellStyle name="40% - Accent1 3 6 2" xfId="693"/>
    <cellStyle name="40% - Accent1 3 7" xfId="694"/>
    <cellStyle name="40% - Accent1 3 7 2" xfId="695"/>
    <cellStyle name="40% - Accent1 3 8" xfId="696"/>
    <cellStyle name="40% - Accent1 3 8 2" xfId="697"/>
    <cellStyle name="40% - Accent1 3 9" xfId="698"/>
    <cellStyle name="40% - Accent1 3 9 2" xfId="699"/>
    <cellStyle name="40% - Accent2" xfId="700"/>
    <cellStyle name="40% - Accent2 2" xfId="701"/>
    <cellStyle name="40% - Accent2 2 10" xfId="702"/>
    <cellStyle name="40% - Accent2 2 10 2" xfId="703"/>
    <cellStyle name="40% - Accent2 2 11" xfId="704"/>
    <cellStyle name="40% - Accent2 2 11 2" xfId="705"/>
    <cellStyle name="40% - Accent2 2 12" xfId="706"/>
    <cellStyle name="40% - Accent2 2 12 2" xfId="707"/>
    <cellStyle name="40% - Accent2 2 13" xfId="708"/>
    <cellStyle name="40% - Accent2 2 13 2" xfId="709"/>
    <cellStyle name="40% - Accent2 2 14" xfId="710"/>
    <cellStyle name="40% - Accent2 2 14 2" xfId="711"/>
    <cellStyle name="40% - Accent2 2 15" xfId="712"/>
    <cellStyle name="40% - Accent2 2 15 2" xfId="713"/>
    <cellStyle name="40% - Accent2 2 16" xfId="714"/>
    <cellStyle name="40% - Accent2 2 16 2" xfId="715"/>
    <cellStyle name="40% - Accent2 2 17" xfId="716"/>
    <cellStyle name="40% - Accent2 2 17 2" xfId="717"/>
    <cellStyle name="40% - Accent2 2 18" xfId="718"/>
    <cellStyle name="40% - Accent2 2 2" xfId="719"/>
    <cellStyle name="40% - Accent2 2 2 2" xfId="720"/>
    <cellStyle name="40% - Accent2 2 3" xfId="721"/>
    <cellStyle name="40% - Accent2 2 3 2" xfId="722"/>
    <cellStyle name="40% - Accent2 2 4" xfId="723"/>
    <cellStyle name="40% - Accent2 2 4 2" xfId="724"/>
    <cellStyle name="40% - Accent2 2 5" xfId="725"/>
    <cellStyle name="40% - Accent2 2 5 2" xfId="726"/>
    <cellStyle name="40% - Accent2 2 6" xfId="727"/>
    <cellStyle name="40% - Accent2 2 6 2" xfId="728"/>
    <cellStyle name="40% - Accent2 2 7" xfId="729"/>
    <cellStyle name="40% - Accent2 2 7 2" xfId="730"/>
    <cellStyle name="40% - Accent2 2 8" xfId="731"/>
    <cellStyle name="40% - Accent2 2 8 2" xfId="732"/>
    <cellStyle name="40% - Accent2 2 9" xfId="733"/>
    <cellStyle name="40% - Accent2 2 9 2" xfId="734"/>
    <cellStyle name="40% - Accent2 3 10" xfId="735"/>
    <cellStyle name="40% - Accent2 3 10 2" xfId="736"/>
    <cellStyle name="40% - Accent2 3 11" xfId="737"/>
    <cellStyle name="40% - Accent2 3 11 2" xfId="738"/>
    <cellStyle name="40% - Accent2 3 12" xfId="739"/>
    <cellStyle name="40% - Accent2 3 12 2" xfId="740"/>
    <cellStyle name="40% - Accent2 3 13" xfId="741"/>
    <cellStyle name="40% - Accent2 3 13 2" xfId="742"/>
    <cellStyle name="40% - Accent2 3 14" xfId="743"/>
    <cellStyle name="40% - Accent2 3 14 2" xfId="744"/>
    <cellStyle name="40% - Accent2 3 15" xfId="745"/>
    <cellStyle name="40% - Accent2 3 15 2" xfId="746"/>
    <cellStyle name="40% - Accent2 3 16" xfId="747"/>
    <cellStyle name="40% - Accent2 3 16 2" xfId="748"/>
    <cellStyle name="40% - Accent2 3 17" xfId="749"/>
    <cellStyle name="40% - Accent2 3 17 2" xfId="750"/>
    <cellStyle name="40% - Accent2 3 2" xfId="751"/>
    <cellStyle name="40% - Accent2 3 2 2" xfId="752"/>
    <cellStyle name="40% - Accent2 3 3" xfId="753"/>
    <cellStyle name="40% - Accent2 3 3 2" xfId="754"/>
    <cellStyle name="40% - Accent2 3 4" xfId="755"/>
    <cellStyle name="40% - Accent2 3 4 2" xfId="756"/>
    <cellStyle name="40% - Accent2 3 5" xfId="757"/>
    <cellStyle name="40% - Accent2 3 5 2" xfId="758"/>
    <cellStyle name="40% - Accent2 3 6" xfId="759"/>
    <cellStyle name="40% - Accent2 3 6 2" xfId="760"/>
    <cellStyle name="40% - Accent2 3 7" xfId="761"/>
    <cellStyle name="40% - Accent2 3 7 2" xfId="762"/>
    <cellStyle name="40% - Accent2 3 8" xfId="763"/>
    <cellStyle name="40% - Accent2 3 8 2" xfId="764"/>
    <cellStyle name="40% - Accent2 3 9" xfId="765"/>
    <cellStyle name="40% - Accent2 3 9 2" xfId="766"/>
    <cellStyle name="40% - Accent3" xfId="767"/>
    <cellStyle name="40% - Accent3 2" xfId="768"/>
    <cellStyle name="40% - Accent3 2 10" xfId="769"/>
    <cellStyle name="40% - Accent3 2 10 2" xfId="770"/>
    <cellStyle name="40% - Accent3 2 11" xfId="771"/>
    <cellStyle name="40% - Accent3 2 11 2" xfId="772"/>
    <cellStyle name="40% - Accent3 2 12" xfId="773"/>
    <cellStyle name="40% - Accent3 2 12 2" xfId="774"/>
    <cellStyle name="40% - Accent3 2 13" xfId="775"/>
    <cellStyle name="40% - Accent3 2 13 2" xfId="776"/>
    <cellStyle name="40% - Accent3 2 14" xfId="777"/>
    <cellStyle name="40% - Accent3 2 14 2" xfId="778"/>
    <cellStyle name="40% - Accent3 2 15" xfId="779"/>
    <cellStyle name="40% - Accent3 2 15 2" xfId="780"/>
    <cellStyle name="40% - Accent3 2 16" xfId="781"/>
    <cellStyle name="40% - Accent3 2 16 2" xfId="782"/>
    <cellStyle name="40% - Accent3 2 17" xfId="783"/>
    <cellStyle name="40% - Accent3 2 17 2" xfId="784"/>
    <cellStyle name="40% - Accent3 2 18" xfId="785"/>
    <cellStyle name="40% - Accent3 2 2" xfId="786"/>
    <cellStyle name="40% - Accent3 2 2 2" xfId="787"/>
    <cellStyle name="40% - Accent3 2 3" xfId="788"/>
    <cellStyle name="40% - Accent3 2 3 2" xfId="789"/>
    <cellStyle name="40% - Accent3 2 4" xfId="790"/>
    <cellStyle name="40% - Accent3 2 4 2" xfId="791"/>
    <cellStyle name="40% - Accent3 2 5" xfId="792"/>
    <cellStyle name="40% - Accent3 2 5 2" xfId="793"/>
    <cellStyle name="40% - Accent3 2 6" xfId="794"/>
    <cellStyle name="40% - Accent3 2 6 2" xfId="795"/>
    <cellStyle name="40% - Accent3 2 7" xfId="796"/>
    <cellStyle name="40% - Accent3 2 7 2" xfId="797"/>
    <cellStyle name="40% - Accent3 2 8" xfId="798"/>
    <cellStyle name="40% - Accent3 2 8 2" xfId="799"/>
    <cellStyle name="40% - Accent3 2 9" xfId="800"/>
    <cellStyle name="40% - Accent3 2 9 2" xfId="801"/>
    <cellStyle name="40% - Accent3 3 10" xfId="802"/>
    <cellStyle name="40% - Accent3 3 10 2" xfId="803"/>
    <cellStyle name="40% - Accent3 3 11" xfId="804"/>
    <cellStyle name="40% - Accent3 3 11 2" xfId="805"/>
    <cellStyle name="40% - Accent3 3 12" xfId="806"/>
    <cellStyle name="40% - Accent3 3 12 2" xfId="807"/>
    <cellStyle name="40% - Accent3 3 13" xfId="808"/>
    <cellStyle name="40% - Accent3 3 13 2" xfId="809"/>
    <cellStyle name="40% - Accent3 3 14" xfId="810"/>
    <cellStyle name="40% - Accent3 3 14 2" xfId="811"/>
    <cellStyle name="40% - Accent3 3 15" xfId="812"/>
    <cellStyle name="40% - Accent3 3 15 2" xfId="813"/>
    <cellStyle name="40% - Accent3 3 16" xfId="814"/>
    <cellStyle name="40% - Accent3 3 16 2" xfId="815"/>
    <cellStyle name="40% - Accent3 3 17" xfId="816"/>
    <cellStyle name="40% - Accent3 3 17 2" xfId="817"/>
    <cellStyle name="40% - Accent3 3 2" xfId="818"/>
    <cellStyle name="40% - Accent3 3 2 2" xfId="819"/>
    <cellStyle name="40% - Accent3 3 3" xfId="820"/>
    <cellStyle name="40% - Accent3 3 3 2" xfId="821"/>
    <cellStyle name="40% - Accent3 3 4" xfId="822"/>
    <cellStyle name="40% - Accent3 3 4 2" xfId="823"/>
    <cellStyle name="40% - Accent3 3 5" xfId="824"/>
    <cellStyle name="40% - Accent3 3 5 2" xfId="825"/>
    <cellStyle name="40% - Accent3 3 6" xfId="826"/>
    <cellStyle name="40% - Accent3 3 6 2" xfId="827"/>
    <cellStyle name="40% - Accent3 3 7" xfId="828"/>
    <cellStyle name="40% - Accent3 3 7 2" xfId="829"/>
    <cellStyle name="40% - Accent3 3 8" xfId="830"/>
    <cellStyle name="40% - Accent3 3 8 2" xfId="831"/>
    <cellStyle name="40% - Accent3 3 9" xfId="832"/>
    <cellStyle name="40% - Accent3 3 9 2" xfId="833"/>
    <cellStyle name="40% - Accent4" xfId="834"/>
    <cellStyle name="40% - Accent4 2" xfId="835"/>
    <cellStyle name="40% - Accent4 2 10" xfId="836"/>
    <cellStyle name="40% - Accent4 2 10 2" xfId="837"/>
    <cellStyle name="40% - Accent4 2 11" xfId="838"/>
    <cellStyle name="40% - Accent4 2 11 2" xfId="839"/>
    <cellStyle name="40% - Accent4 2 12" xfId="840"/>
    <cellStyle name="40% - Accent4 2 12 2" xfId="841"/>
    <cellStyle name="40% - Accent4 2 13" xfId="842"/>
    <cellStyle name="40% - Accent4 2 13 2" xfId="843"/>
    <cellStyle name="40% - Accent4 2 14" xfId="844"/>
    <cellStyle name="40% - Accent4 2 14 2" xfId="845"/>
    <cellStyle name="40% - Accent4 2 15" xfId="846"/>
    <cellStyle name="40% - Accent4 2 15 2" xfId="847"/>
    <cellStyle name="40% - Accent4 2 16" xfId="848"/>
    <cellStyle name="40% - Accent4 2 16 2" xfId="849"/>
    <cellStyle name="40% - Accent4 2 17" xfId="850"/>
    <cellStyle name="40% - Accent4 2 17 2" xfId="851"/>
    <cellStyle name="40% - Accent4 2 18" xfId="852"/>
    <cellStyle name="40% - Accent4 2 2" xfId="853"/>
    <cellStyle name="40% - Accent4 2 2 2" xfId="854"/>
    <cellStyle name="40% - Accent4 2 3" xfId="855"/>
    <cellStyle name="40% - Accent4 2 3 2" xfId="856"/>
    <cellStyle name="40% - Accent4 2 4" xfId="857"/>
    <cellStyle name="40% - Accent4 2 4 2" xfId="858"/>
    <cellStyle name="40% - Accent4 2 5" xfId="859"/>
    <cellStyle name="40% - Accent4 2 5 2" xfId="860"/>
    <cellStyle name="40% - Accent4 2 6" xfId="861"/>
    <cellStyle name="40% - Accent4 2 6 2" xfId="862"/>
    <cellStyle name="40% - Accent4 2 7" xfId="863"/>
    <cellStyle name="40% - Accent4 2 7 2" xfId="864"/>
    <cellStyle name="40% - Accent4 2 8" xfId="865"/>
    <cellStyle name="40% - Accent4 2 8 2" xfId="866"/>
    <cellStyle name="40% - Accent4 2 9" xfId="867"/>
    <cellStyle name="40% - Accent4 2 9 2" xfId="868"/>
    <cellStyle name="40% - Accent4 3 10" xfId="869"/>
    <cellStyle name="40% - Accent4 3 10 2" xfId="870"/>
    <cellStyle name="40% - Accent4 3 11" xfId="871"/>
    <cellStyle name="40% - Accent4 3 11 2" xfId="872"/>
    <cellStyle name="40% - Accent4 3 12" xfId="873"/>
    <cellStyle name="40% - Accent4 3 12 2" xfId="874"/>
    <cellStyle name="40% - Accent4 3 13" xfId="875"/>
    <cellStyle name="40% - Accent4 3 13 2" xfId="876"/>
    <cellStyle name="40% - Accent4 3 14" xfId="877"/>
    <cellStyle name="40% - Accent4 3 14 2" xfId="878"/>
    <cellStyle name="40% - Accent4 3 15" xfId="879"/>
    <cellStyle name="40% - Accent4 3 15 2" xfId="880"/>
    <cellStyle name="40% - Accent4 3 16" xfId="881"/>
    <cellStyle name="40% - Accent4 3 16 2" xfId="882"/>
    <cellStyle name="40% - Accent4 3 17" xfId="883"/>
    <cellStyle name="40% - Accent4 3 17 2" xfId="884"/>
    <cellStyle name="40% - Accent4 3 2" xfId="885"/>
    <cellStyle name="40% - Accent4 3 2 2" xfId="886"/>
    <cellStyle name="40% - Accent4 3 3" xfId="887"/>
    <cellStyle name="40% - Accent4 3 3 2" xfId="888"/>
    <cellStyle name="40% - Accent4 3 4" xfId="889"/>
    <cellStyle name="40% - Accent4 3 4 2" xfId="890"/>
    <cellStyle name="40% - Accent4 3 5" xfId="891"/>
    <cellStyle name="40% - Accent4 3 5 2" xfId="892"/>
    <cellStyle name="40% - Accent4 3 6" xfId="893"/>
    <cellStyle name="40% - Accent4 3 6 2" xfId="894"/>
    <cellStyle name="40% - Accent4 3 7" xfId="895"/>
    <cellStyle name="40% - Accent4 3 7 2" xfId="896"/>
    <cellStyle name="40% - Accent4 3 8" xfId="897"/>
    <cellStyle name="40% - Accent4 3 8 2" xfId="898"/>
    <cellStyle name="40% - Accent4 3 9" xfId="899"/>
    <cellStyle name="40% - Accent4 3 9 2" xfId="900"/>
    <cellStyle name="40% - Accent5" xfId="901"/>
    <cellStyle name="40% - Accent5 2" xfId="902"/>
    <cellStyle name="40% - Accent5 2 10" xfId="903"/>
    <cellStyle name="40% - Accent5 2 10 2" xfId="904"/>
    <cellStyle name="40% - Accent5 2 11" xfId="905"/>
    <cellStyle name="40% - Accent5 2 11 2" xfId="906"/>
    <cellStyle name="40% - Accent5 2 12" xfId="907"/>
    <cellStyle name="40% - Accent5 2 12 2" xfId="908"/>
    <cellStyle name="40% - Accent5 2 13" xfId="909"/>
    <cellStyle name="40% - Accent5 2 13 2" xfId="910"/>
    <cellStyle name="40% - Accent5 2 14" xfId="911"/>
    <cellStyle name="40% - Accent5 2 14 2" xfId="912"/>
    <cellStyle name="40% - Accent5 2 15" xfId="913"/>
    <cellStyle name="40% - Accent5 2 15 2" xfId="914"/>
    <cellStyle name="40% - Accent5 2 16" xfId="915"/>
    <cellStyle name="40% - Accent5 2 16 2" xfId="916"/>
    <cellStyle name="40% - Accent5 2 17" xfId="917"/>
    <cellStyle name="40% - Accent5 2 17 2" xfId="918"/>
    <cellStyle name="40% - Accent5 2 18" xfId="919"/>
    <cellStyle name="40% - Accent5 2 2" xfId="920"/>
    <cellStyle name="40% - Accent5 2 2 2" xfId="921"/>
    <cellStyle name="40% - Accent5 2 3" xfId="922"/>
    <cellStyle name="40% - Accent5 2 3 2" xfId="923"/>
    <cellStyle name="40% - Accent5 2 4" xfId="924"/>
    <cellStyle name="40% - Accent5 2 4 2" xfId="925"/>
    <cellStyle name="40% - Accent5 2 5" xfId="926"/>
    <cellStyle name="40% - Accent5 2 5 2" xfId="927"/>
    <cellStyle name="40% - Accent5 2 6" xfId="928"/>
    <cellStyle name="40% - Accent5 2 6 2" xfId="929"/>
    <cellStyle name="40% - Accent5 2 7" xfId="930"/>
    <cellStyle name="40% - Accent5 2 7 2" xfId="931"/>
    <cellStyle name="40% - Accent5 2 8" xfId="932"/>
    <cellStyle name="40% - Accent5 2 8 2" xfId="933"/>
    <cellStyle name="40% - Accent5 2 9" xfId="934"/>
    <cellStyle name="40% - Accent5 2 9 2" xfId="935"/>
    <cellStyle name="40% - Accent5 3 10" xfId="936"/>
    <cellStyle name="40% - Accent5 3 10 2" xfId="937"/>
    <cellStyle name="40% - Accent5 3 11" xfId="938"/>
    <cellStyle name="40% - Accent5 3 11 2" xfId="939"/>
    <cellStyle name="40% - Accent5 3 12" xfId="940"/>
    <cellStyle name="40% - Accent5 3 12 2" xfId="941"/>
    <cellStyle name="40% - Accent5 3 13" xfId="942"/>
    <cellStyle name="40% - Accent5 3 13 2" xfId="943"/>
    <cellStyle name="40% - Accent5 3 14" xfId="944"/>
    <cellStyle name="40% - Accent5 3 14 2" xfId="945"/>
    <cellStyle name="40% - Accent5 3 15" xfId="946"/>
    <cellStyle name="40% - Accent5 3 15 2" xfId="947"/>
    <cellStyle name="40% - Accent5 3 16" xfId="948"/>
    <cellStyle name="40% - Accent5 3 16 2" xfId="949"/>
    <cellStyle name="40% - Accent5 3 17" xfId="950"/>
    <cellStyle name="40% - Accent5 3 17 2" xfId="951"/>
    <cellStyle name="40% - Accent5 3 2" xfId="952"/>
    <cellStyle name="40% - Accent5 3 2 2" xfId="953"/>
    <cellStyle name="40% - Accent5 3 3" xfId="954"/>
    <cellStyle name="40% - Accent5 3 3 2" xfId="955"/>
    <cellStyle name="40% - Accent5 3 4" xfId="956"/>
    <cellStyle name="40% - Accent5 3 4 2" xfId="957"/>
    <cellStyle name="40% - Accent5 3 5" xfId="958"/>
    <cellStyle name="40% - Accent5 3 5 2" xfId="959"/>
    <cellStyle name="40% - Accent5 3 6" xfId="960"/>
    <cellStyle name="40% - Accent5 3 6 2" xfId="961"/>
    <cellStyle name="40% - Accent5 3 7" xfId="962"/>
    <cellStyle name="40% - Accent5 3 7 2" xfId="963"/>
    <cellStyle name="40% - Accent5 3 8" xfId="964"/>
    <cellStyle name="40% - Accent5 3 8 2" xfId="965"/>
    <cellStyle name="40% - Accent5 3 9" xfId="966"/>
    <cellStyle name="40% - Accent5 3 9 2" xfId="967"/>
    <cellStyle name="40% - Accent6" xfId="968"/>
    <cellStyle name="40% - Accent6 2" xfId="969"/>
    <cellStyle name="40% - Accent6 2 10" xfId="970"/>
    <cellStyle name="40% - Accent6 2 10 2" xfId="971"/>
    <cellStyle name="40% - Accent6 2 11" xfId="972"/>
    <cellStyle name="40% - Accent6 2 11 2" xfId="973"/>
    <cellStyle name="40% - Accent6 2 12" xfId="974"/>
    <cellStyle name="40% - Accent6 2 12 2" xfId="975"/>
    <cellStyle name="40% - Accent6 2 13" xfId="976"/>
    <cellStyle name="40% - Accent6 2 13 2" xfId="977"/>
    <cellStyle name="40% - Accent6 2 14" xfId="978"/>
    <cellStyle name="40% - Accent6 2 14 2" xfId="979"/>
    <cellStyle name="40% - Accent6 2 15" xfId="980"/>
    <cellStyle name="40% - Accent6 2 15 2" xfId="981"/>
    <cellStyle name="40% - Accent6 2 16" xfId="982"/>
    <cellStyle name="40% - Accent6 2 16 2" xfId="983"/>
    <cellStyle name="40% - Accent6 2 17" xfId="984"/>
    <cellStyle name="40% - Accent6 2 17 2" xfId="985"/>
    <cellStyle name="40% - Accent6 2 18" xfId="986"/>
    <cellStyle name="40% - Accent6 2 2" xfId="987"/>
    <cellStyle name="40% - Accent6 2 2 2" xfId="988"/>
    <cellStyle name="40% - Accent6 2 3" xfId="989"/>
    <cellStyle name="40% - Accent6 2 3 2" xfId="990"/>
    <cellStyle name="40% - Accent6 2 4" xfId="991"/>
    <cellStyle name="40% - Accent6 2 4 2" xfId="992"/>
    <cellStyle name="40% - Accent6 2 5" xfId="993"/>
    <cellStyle name="40% - Accent6 2 5 2" xfId="994"/>
    <cellStyle name="40% - Accent6 2 6" xfId="995"/>
    <cellStyle name="40% - Accent6 2 6 2" xfId="996"/>
    <cellStyle name="40% - Accent6 2 7" xfId="997"/>
    <cellStyle name="40% - Accent6 2 7 2" xfId="998"/>
    <cellStyle name="40% - Accent6 2 8" xfId="999"/>
    <cellStyle name="40% - Accent6 2 8 2" xfId="1000"/>
    <cellStyle name="40% - Accent6 2 9" xfId="1001"/>
    <cellStyle name="40% - Accent6 2 9 2" xfId="1002"/>
    <cellStyle name="40% - Accent6 3 10" xfId="1003"/>
    <cellStyle name="40% - Accent6 3 10 2" xfId="1004"/>
    <cellStyle name="40% - Accent6 3 11" xfId="1005"/>
    <cellStyle name="40% - Accent6 3 11 2" xfId="1006"/>
    <cellStyle name="40% - Accent6 3 12" xfId="1007"/>
    <cellStyle name="40% - Accent6 3 12 2" xfId="1008"/>
    <cellStyle name="40% - Accent6 3 13" xfId="1009"/>
    <cellStyle name="40% - Accent6 3 13 2" xfId="1010"/>
    <cellStyle name="40% - Accent6 3 14" xfId="1011"/>
    <cellStyle name="40% - Accent6 3 14 2" xfId="1012"/>
    <cellStyle name="40% - Accent6 3 15" xfId="1013"/>
    <cellStyle name="40% - Accent6 3 15 2" xfId="1014"/>
    <cellStyle name="40% - Accent6 3 16" xfId="1015"/>
    <cellStyle name="40% - Accent6 3 16 2" xfId="1016"/>
    <cellStyle name="40% - Accent6 3 17" xfId="1017"/>
    <cellStyle name="40% - Accent6 3 17 2" xfId="1018"/>
    <cellStyle name="40% - Accent6 3 2" xfId="1019"/>
    <cellStyle name="40% - Accent6 3 2 2" xfId="1020"/>
    <cellStyle name="40% - Accent6 3 3" xfId="1021"/>
    <cellStyle name="40% - Accent6 3 3 2" xfId="1022"/>
    <cellStyle name="40% - Accent6 3 4" xfId="1023"/>
    <cellStyle name="40% - Accent6 3 4 2" xfId="1024"/>
    <cellStyle name="40% - Accent6 3 5" xfId="1025"/>
    <cellStyle name="40% - Accent6 3 5 2" xfId="1026"/>
    <cellStyle name="40% - Accent6 3 6" xfId="1027"/>
    <cellStyle name="40% - Accent6 3 6 2" xfId="1028"/>
    <cellStyle name="40% - Accent6 3 7" xfId="1029"/>
    <cellStyle name="40% - Accent6 3 7 2" xfId="1030"/>
    <cellStyle name="40% - Accent6 3 8" xfId="1031"/>
    <cellStyle name="40% - Accent6 3 8 2" xfId="1032"/>
    <cellStyle name="40% - Accent6 3 9" xfId="1033"/>
    <cellStyle name="40% - Accent6 3 9 2" xfId="1034"/>
    <cellStyle name="40% - Colore 1" xfId="1035"/>
    <cellStyle name="40% - Colore 1 2" xfId="1036"/>
    <cellStyle name="40% - Colore 1 2 2" xfId="1037"/>
    <cellStyle name="40% - Colore 1 2 3" xfId="1038"/>
    <cellStyle name="40% - Colore 1 3" xfId="1039"/>
    <cellStyle name="40% - Colore 1 3 2" xfId="1040"/>
    <cellStyle name="40% - Colore 1 3 3" xfId="1041"/>
    <cellStyle name="40% - Colore 1 4" xfId="1042"/>
    <cellStyle name="40% - Colore 1 4 2" xfId="1043"/>
    <cellStyle name="40% - Colore 1 5" xfId="1044"/>
    <cellStyle name="40% - Colore 1 6" xfId="1045"/>
    <cellStyle name="40% - Colore 1 7" xfId="1046"/>
    <cellStyle name="40% - Colore 2" xfId="1047"/>
    <cellStyle name="40% - Colore 2 2" xfId="1048"/>
    <cellStyle name="40% - Colore 2 2 2" xfId="1049"/>
    <cellStyle name="40% - Colore 2 2 3" xfId="1050"/>
    <cellStyle name="40% - Colore 2 3" xfId="1051"/>
    <cellStyle name="40% - Colore 2 3 2" xfId="1052"/>
    <cellStyle name="40% - Colore 2 3 3" xfId="1053"/>
    <cellStyle name="40% - Colore 2 4" xfId="1054"/>
    <cellStyle name="40% - Colore 2 4 2" xfId="1055"/>
    <cellStyle name="40% - Colore 2 5" xfId="1056"/>
    <cellStyle name="40% - Colore 2 6" xfId="1057"/>
    <cellStyle name="40% - Colore 2 7" xfId="1058"/>
    <cellStyle name="40% - Colore 3" xfId="1059"/>
    <cellStyle name="40% - Colore 3 10" xfId="1060"/>
    <cellStyle name="40% - Colore 3 10 2" xfId="1061"/>
    <cellStyle name="40% - Colore 3 10 3" xfId="1062"/>
    <cellStyle name="40% - Colore 3 11" xfId="1063"/>
    <cellStyle name="40% - Colore 3 11 2" xfId="1064"/>
    <cellStyle name="40% - Colore 3 11 3" xfId="1065"/>
    <cellStyle name="40% - Colore 3 12" xfId="1066"/>
    <cellStyle name="40% - Colore 3 12 2" xfId="1067"/>
    <cellStyle name="40% - Colore 3 12 3" xfId="1068"/>
    <cellStyle name="40% - Colore 3 13" xfId="1069"/>
    <cellStyle name="40% - Colore 3 13 2" xfId="1070"/>
    <cellStyle name="40% - Colore 3 13 3" xfId="1071"/>
    <cellStyle name="40% - Colore 3 14" xfId="1072"/>
    <cellStyle name="40% - Colore 3 14 2" xfId="1073"/>
    <cellStyle name="40% - Colore 3 14 3" xfId="1074"/>
    <cellStyle name="40% - Colore 3 15" xfId="1075"/>
    <cellStyle name="40% - Colore 3 15 2" xfId="1076"/>
    <cellStyle name="40% - Colore 3 15 3" xfId="1077"/>
    <cellStyle name="40% - Colore 3 16" xfId="1078"/>
    <cellStyle name="40% - Colore 3 16 2" xfId="1079"/>
    <cellStyle name="40% - Colore 3 17" xfId="1080"/>
    <cellStyle name="40% - Colore 3 18" xfId="1081"/>
    <cellStyle name="40% - Colore 3 19" xfId="1082"/>
    <cellStyle name="40% - Colore 3 2" xfId="1083"/>
    <cellStyle name="40% - Colore 3 2 2" xfId="1084"/>
    <cellStyle name="40% - Colore 3 2 3" xfId="1085"/>
    <cellStyle name="40% - Colore 3 3" xfId="1086"/>
    <cellStyle name="40% - Colore 3 3 2" xfId="1087"/>
    <cellStyle name="40% - Colore 3 3 3" xfId="1088"/>
    <cellStyle name="40% - Colore 3 4" xfId="1089"/>
    <cellStyle name="40% - Colore 3 4 2" xfId="1090"/>
    <cellStyle name="40% - Colore 3 4 3" xfId="1091"/>
    <cellStyle name="40% - Colore 3 5" xfId="1092"/>
    <cellStyle name="40% - Colore 3 5 2" xfId="1093"/>
    <cellStyle name="40% - Colore 3 5 3" xfId="1094"/>
    <cellStyle name="40% - Colore 3 6" xfId="1095"/>
    <cellStyle name="40% - Colore 3 6 2" xfId="1096"/>
    <cellStyle name="40% - Colore 3 6 3" xfId="1097"/>
    <cellStyle name="40% - Colore 3 7" xfId="1098"/>
    <cellStyle name="40% - Colore 3 7 2" xfId="1099"/>
    <cellStyle name="40% - Colore 3 7 3" xfId="1100"/>
    <cellStyle name="40% - Colore 3 8" xfId="1101"/>
    <cellStyle name="40% - Colore 3 8 2" xfId="1102"/>
    <cellStyle name="40% - Colore 3 8 3" xfId="1103"/>
    <cellStyle name="40% - Colore 3 9" xfId="1104"/>
    <cellStyle name="40% - Colore 3 9 2" xfId="1105"/>
    <cellStyle name="40% - Colore 3 9 3" xfId="1106"/>
    <cellStyle name="40% - Colore 4" xfId="1107"/>
    <cellStyle name="40% - Colore 4 2" xfId="1108"/>
    <cellStyle name="40% - Colore 4 2 2" xfId="1109"/>
    <cellStyle name="40% - Colore 4 2 3" xfId="1110"/>
    <cellStyle name="40% - Colore 4 3" xfId="1111"/>
    <cellStyle name="40% - Colore 4 3 2" xfId="1112"/>
    <cellStyle name="40% - Colore 4 3 3" xfId="1113"/>
    <cellStyle name="40% - Colore 4 4" xfId="1114"/>
    <cellStyle name="40% - Colore 4 4 2" xfId="1115"/>
    <cellStyle name="40% - Colore 4 5" xfId="1116"/>
    <cellStyle name="40% - Colore 4 6" xfId="1117"/>
    <cellStyle name="40% - Colore 4 7" xfId="1118"/>
    <cellStyle name="40% - Colore 5" xfId="1119"/>
    <cellStyle name="40% - Colore 5 2" xfId="1120"/>
    <cellStyle name="40% - Colore 5 2 2" xfId="1121"/>
    <cellStyle name="40% - Colore 5 2 3" xfId="1122"/>
    <cellStyle name="40% - Colore 5 3" xfId="1123"/>
    <cellStyle name="40% - Colore 5 3 2" xfId="1124"/>
    <cellStyle name="40% - Colore 5 3 3" xfId="1125"/>
    <cellStyle name="40% - Colore 5 4" xfId="1126"/>
    <cellStyle name="40% - Colore 5 4 2" xfId="1127"/>
    <cellStyle name="40% - Colore 5 5" xfId="1128"/>
    <cellStyle name="40% - Colore 5 6" xfId="1129"/>
    <cellStyle name="40% - Colore 5 7" xfId="1130"/>
    <cellStyle name="40% - Colore 6" xfId="1131"/>
    <cellStyle name="40% - Colore 6 2" xfId="1132"/>
    <cellStyle name="40% - Colore 6 2 2" xfId="1133"/>
    <cellStyle name="40% - Colore 6 2 3" xfId="1134"/>
    <cellStyle name="40% - Colore 6 3" xfId="1135"/>
    <cellStyle name="40% - Colore 6 3 2" xfId="1136"/>
    <cellStyle name="40% - Colore 6 3 3" xfId="1137"/>
    <cellStyle name="40% - Colore 6 4" xfId="1138"/>
    <cellStyle name="40% - Colore 6 4 2" xfId="1139"/>
    <cellStyle name="40% - Colore 6 5" xfId="1140"/>
    <cellStyle name="40% - Colore 6 6" xfId="1141"/>
    <cellStyle name="40% - Colore 6 7" xfId="1142"/>
    <cellStyle name="60% - Accent1" xfId="1143"/>
    <cellStyle name="60% - Accent1 2" xfId="1144"/>
    <cellStyle name="60% - Accent1 2 10" xfId="1145"/>
    <cellStyle name="60% - Accent1 2 11" xfId="1146"/>
    <cellStyle name="60% - Accent1 2 12" xfId="1147"/>
    <cellStyle name="60% - Accent1 2 13" xfId="1148"/>
    <cellStyle name="60% - Accent1 2 14" xfId="1149"/>
    <cellStyle name="60% - Accent1 2 15" xfId="1150"/>
    <cellStyle name="60% - Accent1 2 16" xfId="1151"/>
    <cellStyle name="60% - Accent1 2 17" xfId="1152"/>
    <cellStyle name="60% - Accent1 2 2" xfId="1153"/>
    <cellStyle name="60% - Accent1 2 3" xfId="1154"/>
    <cellStyle name="60% - Accent1 2 4" xfId="1155"/>
    <cellStyle name="60% - Accent1 2 5" xfId="1156"/>
    <cellStyle name="60% - Accent1 2 6" xfId="1157"/>
    <cellStyle name="60% - Accent1 2 7" xfId="1158"/>
    <cellStyle name="60% - Accent1 2 8" xfId="1159"/>
    <cellStyle name="60% - Accent1 2 9" xfId="1160"/>
    <cellStyle name="60% - Accent1 3 10" xfId="1161"/>
    <cellStyle name="60% - Accent1 3 11" xfId="1162"/>
    <cellStyle name="60% - Accent1 3 12" xfId="1163"/>
    <cellStyle name="60% - Accent1 3 13" xfId="1164"/>
    <cellStyle name="60% - Accent1 3 14" xfId="1165"/>
    <cellStyle name="60% - Accent1 3 15" xfId="1166"/>
    <cellStyle name="60% - Accent1 3 16" xfId="1167"/>
    <cellStyle name="60% - Accent1 3 17" xfId="1168"/>
    <cellStyle name="60% - Accent1 3 2" xfId="1169"/>
    <cellStyle name="60% - Accent1 3 3" xfId="1170"/>
    <cellStyle name="60% - Accent1 3 4" xfId="1171"/>
    <cellStyle name="60% - Accent1 3 5" xfId="1172"/>
    <cellStyle name="60% - Accent1 3 6" xfId="1173"/>
    <cellStyle name="60% - Accent1 3 7" xfId="1174"/>
    <cellStyle name="60% - Accent1 3 8" xfId="1175"/>
    <cellStyle name="60% - Accent1 3 9" xfId="1176"/>
    <cellStyle name="60% - Accent2" xfId="1177"/>
    <cellStyle name="60% - Accent2 2" xfId="1178"/>
    <cellStyle name="60% - Accent2 2 10" xfId="1179"/>
    <cellStyle name="60% - Accent2 2 11" xfId="1180"/>
    <cellStyle name="60% - Accent2 2 12" xfId="1181"/>
    <cellStyle name="60% - Accent2 2 13" xfId="1182"/>
    <cellStyle name="60% - Accent2 2 14" xfId="1183"/>
    <cellStyle name="60% - Accent2 2 15" xfId="1184"/>
    <cellStyle name="60% - Accent2 2 16" xfId="1185"/>
    <cellStyle name="60% - Accent2 2 17" xfId="1186"/>
    <cellStyle name="60% - Accent2 2 2" xfId="1187"/>
    <cellStyle name="60% - Accent2 2 3" xfId="1188"/>
    <cellStyle name="60% - Accent2 2 4" xfId="1189"/>
    <cellStyle name="60% - Accent2 2 5" xfId="1190"/>
    <cellStyle name="60% - Accent2 2 6" xfId="1191"/>
    <cellStyle name="60% - Accent2 2 7" xfId="1192"/>
    <cellStyle name="60% - Accent2 2 8" xfId="1193"/>
    <cellStyle name="60% - Accent2 2 9" xfId="1194"/>
    <cellStyle name="60% - Accent2 3 10" xfId="1195"/>
    <cellStyle name="60% - Accent2 3 11" xfId="1196"/>
    <cellStyle name="60% - Accent2 3 12" xfId="1197"/>
    <cellStyle name="60% - Accent2 3 13" xfId="1198"/>
    <cellStyle name="60% - Accent2 3 14" xfId="1199"/>
    <cellStyle name="60% - Accent2 3 15" xfId="1200"/>
    <cellStyle name="60% - Accent2 3 16" xfId="1201"/>
    <cellStyle name="60% - Accent2 3 17" xfId="1202"/>
    <cellStyle name="60% - Accent2 3 2" xfId="1203"/>
    <cellStyle name="60% - Accent2 3 3" xfId="1204"/>
    <cellStyle name="60% - Accent2 3 4" xfId="1205"/>
    <cellStyle name="60% - Accent2 3 5" xfId="1206"/>
    <cellStyle name="60% - Accent2 3 6" xfId="1207"/>
    <cellStyle name="60% - Accent2 3 7" xfId="1208"/>
    <cellStyle name="60% - Accent2 3 8" xfId="1209"/>
    <cellStyle name="60% - Accent2 3 9" xfId="1210"/>
    <cellStyle name="60% - Accent3" xfId="1211"/>
    <cellStyle name="60% - Accent3 2" xfId="1212"/>
    <cellStyle name="60% - Accent3 2 10" xfId="1213"/>
    <cellStyle name="60% - Accent3 2 11" xfId="1214"/>
    <cellStyle name="60% - Accent3 2 12" xfId="1215"/>
    <cellStyle name="60% - Accent3 2 13" xfId="1216"/>
    <cellStyle name="60% - Accent3 2 14" xfId="1217"/>
    <cellStyle name="60% - Accent3 2 15" xfId="1218"/>
    <cellStyle name="60% - Accent3 2 16" xfId="1219"/>
    <cellStyle name="60% - Accent3 2 17" xfId="1220"/>
    <cellStyle name="60% - Accent3 2 2" xfId="1221"/>
    <cellStyle name="60% - Accent3 2 3" xfId="1222"/>
    <cellStyle name="60% - Accent3 2 4" xfId="1223"/>
    <cellStyle name="60% - Accent3 2 5" xfId="1224"/>
    <cellStyle name="60% - Accent3 2 6" xfId="1225"/>
    <cellStyle name="60% - Accent3 2 7" xfId="1226"/>
    <cellStyle name="60% - Accent3 2 8" xfId="1227"/>
    <cellStyle name="60% - Accent3 2 9" xfId="1228"/>
    <cellStyle name="60% - Accent3 3 10" xfId="1229"/>
    <cellStyle name="60% - Accent3 3 11" xfId="1230"/>
    <cellStyle name="60% - Accent3 3 12" xfId="1231"/>
    <cellStyle name="60% - Accent3 3 13" xfId="1232"/>
    <cellStyle name="60% - Accent3 3 14" xfId="1233"/>
    <cellStyle name="60% - Accent3 3 15" xfId="1234"/>
    <cellStyle name="60% - Accent3 3 16" xfId="1235"/>
    <cellStyle name="60% - Accent3 3 17" xfId="1236"/>
    <cellStyle name="60% - Accent3 3 2" xfId="1237"/>
    <cellStyle name="60% - Accent3 3 3" xfId="1238"/>
    <cellStyle name="60% - Accent3 3 4" xfId="1239"/>
    <cellStyle name="60% - Accent3 3 5" xfId="1240"/>
    <cellStyle name="60% - Accent3 3 6" xfId="1241"/>
    <cellStyle name="60% - Accent3 3 7" xfId="1242"/>
    <cellStyle name="60% - Accent3 3 8" xfId="1243"/>
    <cellStyle name="60% - Accent3 3 9" xfId="1244"/>
    <cellStyle name="60% - Accent4" xfId="1245"/>
    <cellStyle name="60% - Accent4 2" xfId="1246"/>
    <cellStyle name="60% - Accent4 2 10" xfId="1247"/>
    <cellStyle name="60% - Accent4 2 11" xfId="1248"/>
    <cellStyle name="60% - Accent4 2 12" xfId="1249"/>
    <cellStyle name="60% - Accent4 2 13" xfId="1250"/>
    <cellStyle name="60% - Accent4 2 14" xfId="1251"/>
    <cellStyle name="60% - Accent4 2 15" xfId="1252"/>
    <cellStyle name="60% - Accent4 2 16" xfId="1253"/>
    <cellStyle name="60% - Accent4 2 17" xfId="1254"/>
    <cellStyle name="60% - Accent4 2 2" xfId="1255"/>
    <cellStyle name="60% - Accent4 2 3" xfId="1256"/>
    <cellStyle name="60% - Accent4 2 4" xfId="1257"/>
    <cellStyle name="60% - Accent4 2 5" xfId="1258"/>
    <cellStyle name="60% - Accent4 2 6" xfId="1259"/>
    <cellStyle name="60% - Accent4 2 7" xfId="1260"/>
    <cellStyle name="60% - Accent4 2 8" xfId="1261"/>
    <cellStyle name="60% - Accent4 2 9" xfId="1262"/>
    <cellStyle name="60% - Accent4 3 10" xfId="1263"/>
    <cellStyle name="60% - Accent4 3 11" xfId="1264"/>
    <cellStyle name="60% - Accent4 3 12" xfId="1265"/>
    <cellStyle name="60% - Accent4 3 13" xfId="1266"/>
    <cellStyle name="60% - Accent4 3 14" xfId="1267"/>
    <cellStyle name="60% - Accent4 3 15" xfId="1268"/>
    <cellStyle name="60% - Accent4 3 16" xfId="1269"/>
    <cellStyle name="60% - Accent4 3 17" xfId="1270"/>
    <cellStyle name="60% - Accent4 3 2" xfId="1271"/>
    <cellStyle name="60% - Accent4 3 3" xfId="1272"/>
    <cellStyle name="60% - Accent4 3 4" xfId="1273"/>
    <cellStyle name="60% - Accent4 3 5" xfId="1274"/>
    <cellStyle name="60% - Accent4 3 6" xfId="1275"/>
    <cellStyle name="60% - Accent4 3 7" xfId="1276"/>
    <cellStyle name="60% - Accent4 3 8" xfId="1277"/>
    <cellStyle name="60% - Accent4 3 9" xfId="1278"/>
    <cellStyle name="60% - Accent5" xfId="1279"/>
    <cellStyle name="60% - Accent5 2" xfId="1280"/>
    <cellStyle name="60% - Accent5 2 10" xfId="1281"/>
    <cellStyle name="60% - Accent5 2 11" xfId="1282"/>
    <cellStyle name="60% - Accent5 2 12" xfId="1283"/>
    <cellStyle name="60% - Accent5 2 13" xfId="1284"/>
    <cellStyle name="60% - Accent5 2 14" xfId="1285"/>
    <cellStyle name="60% - Accent5 2 15" xfId="1286"/>
    <cellStyle name="60% - Accent5 2 16" xfId="1287"/>
    <cellStyle name="60% - Accent5 2 17" xfId="1288"/>
    <cellStyle name="60% - Accent5 2 2" xfId="1289"/>
    <cellStyle name="60% - Accent5 2 3" xfId="1290"/>
    <cellStyle name="60% - Accent5 2 4" xfId="1291"/>
    <cellStyle name="60% - Accent5 2 5" xfId="1292"/>
    <cellStyle name="60% - Accent5 2 6" xfId="1293"/>
    <cellStyle name="60% - Accent5 2 7" xfId="1294"/>
    <cellStyle name="60% - Accent5 2 8" xfId="1295"/>
    <cellStyle name="60% - Accent5 2 9" xfId="1296"/>
    <cellStyle name="60% - Accent5 3 10" xfId="1297"/>
    <cellStyle name="60% - Accent5 3 11" xfId="1298"/>
    <cellStyle name="60% - Accent5 3 12" xfId="1299"/>
    <cellStyle name="60% - Accent5 3 13" xfId="1300"/>
    <cellStyle name="60% - Accent5 3 14" xfId="1301"/>
    <cellStyle name="60% - Accent5 3 15" xfId="1302"/>
    <cellStyle name="60% - Accent5 3 16" xfId="1303"/>
    <cellStyle name="60% - Accent5 3 17" xfId="1304"/>
    <cellStyle name="60% - Accent5 3 2" xfId="1305"/>
    <cellStyle name="60% - Accent5 3 3" xfId="1306"/>
    <cellStyle name="60% - Accent5 3 4" xfId="1307"/>
    <cellStyle name="60% - Accent5 3 5" xfId="1308"/>
    <cellStyle name="60% - Accent5 3 6" xfId="1309"/>
    <cellStyle name="60% - Accent5 3 7" xfId="1310"/>
    <cellStyle name="60% - Accent5 3 8" xfId="1311"/>
    <cellStyle name="60% - Accent5 3 9" xfId="1312"/>
    <cellStyle name="60% - Accent6" xfId="1313"/>
    <cellStyle name="60% - Accent6 2" xfId="1314"/>
    <cellStyle name="60% - Accent6 2 10" xfId="1315"/>
    <cellStyle name="60% - Accent6 2 11" xfId="1316"/>
    <cellStyle name="60% - Accent6 2 12" xfId="1317"/>
    <cellStyle name="60% - Accent6 2 13" xfId="1318"/>
    <cellStyle name="60% - Accent6 2 14" xfId="1319"/>
    <cellStyle name="60% - Accent6 2 15" xfId="1320"/>
    <cellStyle name="60% - Accent6 2 16" xfId="1321"/>
    <cellStyle name="60% - Accent6 2 17" xfId="1322"/>
    <cellStyle name="60% - Accent6 2 2" xfId="1323"/>
    <cellStyle name="60% - Accent6 2 3" xfId="1324"/>
    <cellStyle name="60% - Accent6 2 4" xfId="1325"/>
    <cellStyle name="60% - Accent6 2 5" xfId="1326"/>
    <cellStyle name="60% - Accent6 2 6" xfId="1327"/>
    <cellStyle name="60% - Accent6 2 7" xfId="1328"/>
    <cellStyle name="60% - Accent6 2 8" xfId="1329"/>
    <cellStyle name="60% - Accent6 2 9" xfId="1330"/>
    <cellStyle name="60% - Accent6 3 10" xfId="1331"/>
    <cellStyle name="60% - Accent6 3 11" xfId="1332"/>
    <cellStyle name="60% - Accent6 3 12" xfId="1333"/>
    <cellStyle name="60% - Accent6 3 13" xfId="1334"/>
    <cellStyle name="60% - Accent6 3 14" xfId="1335"/>
    <cellStyle name="60% - Accent6 3 15" xfId="1336"/>
    <cellStyle name="60% - Accent6 3 16" xfId="1337"/>
    <cellStyle name="60% - Accent6 3 17" xfId="1338"/>
    <cellStyle name="60% - Accent6 3 2" xfId="1339"/>
    <cellStyle name="60% - Accent6 3 3" xfId="1340"/>
    <cellStyle name="60% - Accent6 3 4" xfId="1341"/>
    <cellStyle name="60% - Accent6 3 5" xfId="1342"/>
    <cellStyle name="60% - Accent6 3 6" xfId="1343"/>
    <cellStyle name="60% - Accent6 3 7" xfId="1344"/>
    <cellStyle name="60% - Accent6 3 8" xfId="1345"/>
    <cellStyle name="60% - Accent6 3 9" xfId="1346"/>
    <cellStyle name="60% - Colore 1" xfId="1347"/>
    <cellStyle name="60% - Colore 1 2" xfId="1348"/>
    <cellStyle name="60% - Colore 1 2 2" xfId="1349"/>
    <cellStyle name="60% - Colore 1 3" xfId="1350"/>
    <cellStyle name="60% - Colore 1 4" xfId="1351"/>
    <cellStyle name="60% - Colore 2" xfId="1352"/>
    <cellStyle name="60% - Colore 2 2" xfId="1353"/>
    <cellStyle name="60% - Colore 2 2 2" xfId="1354"/>
    <cellStyle name="60% - Colore 2 3" xfId="1355"/>
    <cellStyle name="60% - Colore 2 4" xfId="1356"/>
    <cellStyle name="60% - Colore 3" xfId="1357"/>
    <cellStyle name="60% - Colore 3 10" xfId="1358"/>
    <cellStyle name="60% - Colore 3 11" xfId="1359"/>
    <cellStyle name="60% - Colore 3 12" xfId="1360"/>
    <cellStyle name="60% - Colore 3 13" xfId="1361"/>
    <cellStyle name="60% - Colore 3 14" xfId="1362"/>
    <cellStyle name="60% - Colore 3 14 2" xfId="1363"/>
    <cellStyle name="60% - Colore 3 15" xfId="1364"/>
    <cellStyle name="60% - Colore 3 16" xfId="1365"/>
    <cellStyle name="60% - Colore 3 2" xfId="1366"/>
    <cellStyle name="60% - Colore 3 3" xfId="1367"/>
    <cellStyle name="60% - Colore 3 4" xfId="1368"/>
    <cellStyle name="60% - Colore 3 5" xfId="1369"/>
    <cellStyle name="60% - Colore 3 6" xfId="1370"/>
    <cellStyle name="60% - Colore 3 7" xfId="1371"/>
    <cellStyle name="60% - Colore 3 8" xfId="1372"/>
    <cellStyle name="60% - Colore 3 9" xfId="1373"/>
    <cellStyle name="60% - Colore 4" xfId="1374"/>
    <cellStyle name="60% - Colore 4 10" xfId="1375"/>
    <cellStyle name="60% - Colore 4 11" xfId="1376"/>
    <cellStyle name="60% - Colore 4 12" xfId="1377"/>
    <cellStyle name="60% - Colore 4 13" xfId="1378"/>
    <cellStyle name="60% - Colore 4 14" xfId="1379"/>
    <cellStyle name="60% - Colore 4 14 2" xfId="1380"/>
    <cellStyle name="60% - Colore 4 15" xfId="1381"/>
    <cellStyle name="60% - Colore 4 16" xfId="1382"/>
    <cellStyle name="60% - Colore 4 2" xfId="1383"/>
    <cellStyle name="60% - Colore 4 3" xfId="1384"/>
    <cellStyle name="60% - Colore 4 4" xfId="1385"/>
    <cellStyle name="60% - Colore 4 5" xfId="1386"/>
    <cellStyle name="60% - Colore 4 6" xfId="1387"/>
    <cellStyle name="60% - Colore 4 7" xfId="1388"/>
    <cellStyle name="60% - Colore 4 8" xfId="1389"/>
    <cellStyle name="60% - Colore 4 9" xfId="1390"/>
    <cellStyle name="60% - Colore 5" xfId="1391"/>
    <cellStyle name="60% - Colore 5 2" xfId="1392"/>
    <cellStyle name="60% - Colore 5 2 2" xfId="1393"/>
    <cellStyle name="60% - Colore 5 3" xfId="1394"/>
    <cellStyle name="60% - Colore 5 4" xfId="1395"/>
    <cellStyle name="60% - Colore 6" xfId="1396"/>
    <cellStyle name="60% - Colore 6 10" xfId="1397"/>
    <cellStyle name="60% - Colore 6 11" xfId="1398"/>
    <cellStyle name="60% - Colore 6 12" xfId="1399"/>
    <cellStyle name="60% - Colore 6 13" xfId="1400"/>
    <cellStyle name="60% - Colore 6 14" xfId="1401"/>
    <cellStyle name="60% - Colore 6 14 2" xfId="1402"/>
    <cellStyle name="60% - Colore 6 15" xfId="1403"/>
    <cellStyle name="60% - Colore 6 16" xfId="1404"/>
    <cellStyle name="60% - Colore 6 2" xfId="1405"/>
    <cellStyle name="60% - Colore 6 3" xfId="1406"/>
    <cellStyle name="60% - Colore 6 4" xfId="1407"/>
    <cellStyle name="60% - Colore 6 5" xfId="1408"/>
    <cellStyle name="60% - Colore 6 6" xfId="1409"/>
    <cellStyle name="60% - Colore 6 7" xfId="1410"/>
    <cellStyle name="60% - Colore 6 8" xfId="1411"/>
    <cellStyle name="60% - Colore 6 9" xfId="1412"/>
    <cellStyle name="Accent1" xfId="1413"/>
    <cellStyle name="Accent1 2" xfId="1414"/>
    <cellStyle name="Accent1 2 10" xfId="1415"/>
    <cellStyle name="Accent1 2 11" xfId="1416"/>
    <cellStyle name="Accent1 2 12" xfId="1417"/>
    <cellStyle name="Accent1 2 13" xfId="1418"/>
    <cellStyle name="Accent1 2 14" xfId="1419"/>
    <cellStyle name="Accent1 2 15" xfId="1420"/>
    <cellStyle name="Accent1 2 16" xfId="1421"/>
    <cellStyle name="Accent1 2 17" xfId="1422"/>
    <cellStyle name="Accent1 2 2" xfId="1423"/>
    <cellStyle name="Accent1 2 3" xfId="1424"/>
    <cellStyle name="Accent1 2 4" xfId="1425"/>
    <cellStyle name="Accent1 2 5" xfId="1426"/>
    <cellStyle name="Accent1 2 6" xfId="1427"/>
    <cellStyle name="Accent1 2 7" xfId="1428"/>
    <cellStyle name="Accent1 2 8" xfId="1429"/>
    <cellStyle name="Accent1 2 9" xfId="1430"/>
    <cellStyle name="Accent1 3 10" xfId="1431"/>
    <cellStyle name="Accent1 3 11" xfId="1432"/>
    <cellStyle name="Accent1 3 12" xfId="1433"/>
    <cellStyle name="Accent1 3 13" xfId="1434"/>
    <cellStyle name="Accent1 3 14" xfId="1435"/>
    <cellStyle name="Accent1 3 15" xfId="1436"/>
    <cellStyle name="Accent1 3 16" xfId="1437"/>
    <cellStyle name="Accent1 3 17" xfId="1438"/>
    <cellStyle name="Accent1 3 2" xfId="1439"/>
    <cellStyle name="Accent1 3 3" xfId="1440"/>
    <cellStyle name="Accent1 3 4" xfId="1441"/>
    <cellStyle name="Accent1 3 5" xfId="1442"/>
    <cellStyle name="Accent1 3 6" xfId="1443"/>
    <cellStyle name="Accent1 3 7" xfId="1444"/>
    <cellStyle name="Accent1 3 8" xfId="1445"/>
    <cellStyle name="Accent1 3 9" xfId="1446"/>
    <cellStyle name="Accent2" xfId="1447"/>
    <cellStyle name="Accent2 2" xfId="1448"/>
    <cellStyle name="Accent2 2 10" xfId="1449"/>
    <cellStyle name="Accent2 2 11" xfId="1450"/>
    <cellStyle name="Accent2 2 12" xfId="1451"/>
    <cellStyle name="Accent2 2 13" xfId="1452"/>
    <cellStyle name="Accent2 2 14" xfId="1453"/>
    <cellStyle name="Accent2 2 15" xfId="1454"/>
    <cellStyle name="Accent2 2 16" xfId="1455"/>
    <cellStyle name="Accent2 2 17" xfId="1456"/>
    <cellStyle name="Accent2 2 2" xfId="1457"/>
    <cellStyle name="Accent2 2 3" xfId="1458"/>
    <cellStyle name="Accent2 2 4" xfId="1459"/>
    <cellStyle name="Accent2 2 5" xfId="1460"/>
    <cellStyle name="Accent2 2 6" xfId="1461"/>
    <cellStyle name="Accent2 2 7" xfId="1462"/>
    <cellStyle name="Accent2 2 8" xfId="1463"/>
    <cellStyle name="Accent2 2 9" xfId="1464"/>
    <cellStyle name="Accent2 3 10" xfId="1465"/>
    <cellStyle name="Accent2 3 11" xfId="1466"/>
    <cellStyle name="Accent2 3 12" xfId="1467"/>
    <cellStyle name="Accent2 3 13" xfId="1468"/>
    <cellStyle name="Accent2 3 14" xfId="1469"/>
    <cellStyle name="Accent2 3 15" xfId="1470"/>
    <cellStyle name="Accent2 3 16" xfId="1471"/>
    <cellStyle name="Accent2 3 17" xfId="1472"/>
    <cellStyle name="Accent2 3 2" xfId="1473"/>
    <cellStyle name="Accent2 3 3" xfId="1474"/>
    <cellStyle name="Accent2 3 4" xfId="1475"/>
    <cellStyle name="Accent2 3 5" xfId="1476"/>
    <cellStyle name="Accent2 3 6" xfId="1477"/>
    <cellStyle name="Accent2 3 7" xfId="1478"/>
    <cellStyle name="Accent2 3 8" xfId="1479"/>
    <cellStyle name="Accent2 3 9" xfId="1480"/>
    <cellStyle name="Accent3" xfId="1481"/>
    <cellStyle name="Accent3 2" xfId="1482"/>
    <cellStyle name="Accent3 2 10" xfId="1483"/>
    <cellStyle name="Accent3 2 11" xfId="1484"/>
    <cellStyle name="Accent3 2 12" xfId="1485"/>
    <cellStyle name="Accent3 2 13" xfId="1486"/>
    <cellStyle name="Accent3 2 14" xfId="1487"/>
    <cellStyle name="Accent3 2 15" xfId="1488"/>
    <cellStyle name="Accent3 2 16" xfId="1489"/>
    <cellStyle name="Accent3 2 17" xfId="1490"/>
    <cellStyle name="Accent3 2 2" xfId="1491"/>
    <cellStyle name="Accent3 2 3" xfId="1492"/>
    <cellStyle name="Accent3 2 4" xfId="1493"/>
    <cellStyle name="Accent3 2 5" xfId="1494"/>
    <cellStyle name="Accent3 2 6" xfId="1495"/>
    <cellStyle name="Accent3 2 7" xfId="1496"/>
    <cellStyle name="Accent3 2 8" xfId="1497"/>
    <cellStyle name="Accent3 2 9" xfId="1498"/>
    <cellStyle name="Accent3 3 10" xfId="1499"/>
    <cellStyle name="Accent3 3 11" xfId="1500"/>
    <cellStyle name="Accent3 3 12" xfId="1501"/>
    <cellStyle name="Accent3 3 13" xfId="1502"/>
    <cellStyle name="Accent3 3 14" xfId="1503"/>
    <cellStyle name="Accent3 3 15" xfId="1504"/>
    <cellStyle name="Accent3 3 16" xfId="1505"/>
    <cellStyle name="Accent3 3 17" xfId="1506"/>
    <cellStyle name="Accent3 3 2" xfId="1507"/>
    <cellStyle name="Accent3 3 3" xfId="1508"/>
    <cellStyle name="Accent3 3 4" xfId="1509"/>
    <cellStyle name="Accent3 3 5" xfId="1510"/>
    <cellStyle name="Accent3 3 6" xfId="1511"/>
    <cellStyle name="Accent3 3 7" xfId="1512"/>
    <cellStyle name="Accent3 3 8" xfId="1513"/>
    <cellStyle name="Accent3 3 9" xfId="1514"/>
    <cellStyle name="Accent4" xfId="1515"/>
    <cellStyle name="Accent4 2" xfId="1516"/>
    <cellStyle name="Accent4 2 10" xfId="1517"/>
    <cellStyle name="Accent4 2 11" xfId="1518"/>
    <cellStyle name="Accent4 2 12" xfId="1519"/>
    <cellStyle name="Accent4 2 13" xfId="1520"/>
    <cellStyle name="Accent4 2 14" xfId="1521"/>
    <cellStyle name="Accent4 2 15" xfId="1522"/>
    <cellStyle name="Accent4 2 16" xfId="1523"/>
    <cellStyle name="Accent4 2 17" xfId="1524"/>
    <cellStyle name="Accent4 2 2" xfId="1525"/>
    <cellStyle name="Accent4 2 3" xfId="1526"/>
    <cellStyle name="Accent4 2 4" xfId="1527"/>
    <cellStyle name="Accent4 2 5" xfId="1528"/>
    <cellStyle name="Accent4 2 6" xfId="1529"/>
    <cellStyle name="Accent4 2 7" xfId="1530"/>
    <cellStyle name="Accent4 2 8" xfId="1531"/>
    <cellStyle name="Accent4 2 9" xfId="1532"/>
    <cellStyle name="Accent4 3 10" xfId="1533"/>
    <cellStyle name="Accent4 3 11" xfId="1534"/>
    <cellStyle name="Accent4 3 12" xfId="1535"/>
    <cellStyle name="Accent4 3 13" xfId="1536"/>
    <cellStyle name="Accent4 3 14" xfId="1537"/>
    <cellStyle name="Accent4 3 15" xfId="1538"/>
    <cellStyle name="Accent4 3 16" xfId="1539"/>
    <cellStyle name="Accent4 3 17" xfId="1540"/>
    <cellStyle name="Accent4 3 2" xfId="1541"/>
    <cellStyle name="Accent4 3 3" xfId="1542"/>
    <cellStyle name="Accent4 3 4" xfId="1543"/>
    <cellStyle name="Accent4 3 5" xfId="1544"/>
    <cellStyle name="Accent4 3 6" xfId="1545"/>
    <cellStyle name="Accent4 3 7" xfId="1546"/>
    <cellStyle name="Accent4 3 8" xfId="1547"/>
    <cellStyle name="Accent4 3 9" xfId="1548"/>
    <cellStyle name="Accent5" xfId="1549"/>
    <cellStyle name="Accent5 2" xfId="1550"/>
    <cellStyle name="Accent5 2 10" xfId="1551"/>
    <cellStyle name="Accent5 2 11" xfId="1552"/>
    <cellStyle name="Accent5 2 12" xfId="1553"/>
    <cellStyle name="Accent5 2 13" xfId="1554"/>
    <cellStyle name="Accent5 2 14" xfId="1555"/>
    <cellStyle name="Accent5 2 15" xfId="1556"/>
    <cellStyle name="Accent5 2 16" xfId="1557"/>
    <cellStyle name="Accent5 2 17" xfId="1558"/>
    <cellStyle name="Accent5 2 2" xfId="1559"/>
    <cellStyle name="Accent5 2 3" xfId="1560"/>
    <cellStyle name="Accent5 2 4" xfId="1561"/>
    <cellStyle name="Accent5 2 5" xfId="1562"/>
    <cellStyle name="Accent5 2 6" xfId="1563"/>
    <cellStyle name="Accent5 2 7" xfId="1564"/>
    <cellStyle name="Accent5 2 8" xfId="1565"/>
    <cellStyle name="Accent5 2 9" xfId="1566"/>
    <cellStyle name="Accent5 3 10" xfId="1567"/>
    <cellStyle name="Accent5 3 11" xfId="1568"/>
    <cellStyle name="Accent5 3 12" xfId="1569"/>
    <cellStyle name="Accent5 3 13" xfId="1570"/>
    <cellStyle name="Accent5 3 14" xfId="1571"/>
    <cellStyle name="Accent5 3 15" xfId="1572"/>
    <cellStyle name="Accent5 3 16" xfId="1573"/>
    <cellStyle name="Accent5 3 17" xfId="1574"/>
    <cellStyle name="Accent5 3 2" xfId="1575"/>
    <cellStyle name="Accent5 3 3" xfId="1576"/>
    <cellStyle name="Accent5 3 4" xfId="1577"/>
    <cellStyle name="Accent5 3 5" xfId="1578"/>
    <cellStyle name="Accent5 3 6" xfId="1579"/>
    <cellStyle name="Accent5 3 7" xfId="1580"/>
    <cellStyle name="Accent5 3 8" xfId="1581"/>
    <cellStyle name="Accent5 3 9" xfId="1582"/>
    <cellStyle name="Accent6" xfId="1583"/>
    <cellStyle name="Accent6 2" xfId="1584"/>
    <cellStyle name="Accent6 2 10" xfId="1585"/>
    <cellStyle name="Accent6 2 11" xfId="1586"/>
    <cellStyle name="Accent6 2 12" xfId="1587"/>
    <cellStyle name="Accent6 2 13" xfId="1588"/>
    <cellStyle name="Accent6 2 14" xfId="1589"/>
    <cellStyle name="Accent6 2 15" xfId="1590"/>
    <cellStyle name="Accent6 2 16" xfId="1591"/>
    <cellStyle name="Accent6 2 17" xfId="1592"/>
    <cellStyle name="Accent6 2 2" xfId="1593"/>
    <cellStyle name="Accent6 2 3" xfId="1594"/>
    <cellStyle name="Accent6 2 4" xfId="1595"/>
    <cellStyle name="Accent6 2 5" xfId="1596"/>
    <cellStyle name="Accent6 2 6" xfId="1597"/>
    <cellStyle name="Accent6 2 7" xfId="1598"/>
    <cellStyle name="Accent6 2 8" xfId="1599"/>
    <cellStyle name="Accent6 2 9" xfId="1600"/>
    <cellStyle name="Accent6 3 10" xfId="1601"/>
    <cellStyle name="Accent6 3 11" xfId="1602"/>
    <cellStyle name="Accent6 3 12" xfId="1603"/>
    <cellStyle name="Accent6 3 13" xfId="1604"/>
    <cellStyle name="Accent6 3 14" xfId="1605"/>
    <cellStyle name="Accent6 3 15" xfId="1606"/>
    <cellStyle name="Accent6 3 16" xfId="1607"/>
    <cellStyle name="Accent6 3 17" xfId="1608"/>
    <cellStyle name="Accent6 3 2" xfId="1609"/>
    <cellStyle name="Accent6 3 3" xfId="1610"/>
    <cellStyle name="Accent6 3 4" xfId="1611"/>
    <cellStyle name="Accent6 3 5" xfId="1612"/>
    <cellStyle name="Accent6 3 6" xfId="1613"/>
    <cellStyle name="Accent6 3 7" xfId="1614"/>
    <cellStyle name="Accent6 3 8" xfId="1615"/>
    <cellStyle name="Accent6 3 9" xfId="1616"/>
    <cellStyle name="Bad" xfId="1617"/>
    <cellStyle name="Bad 2" xfId="1618"/>
    <cellStyle name="Bad 2 10" xfId="1619"/>
    <cellStyle name="Bad 2 11" xfId="1620"/>
    <cellStyle name="Bad 2 12" xfId="1621"/>
    <cellStyle name="Bad 2 13" xfId="1622"/>
    <cellStyle name="Bad 2 14" xfId="1623"/>
    <cellStyle name="Bad 2 15" xfId="1624"/>
    <cellStyle name="Bad 2 16" xfId="1625"/>
    <cellStyle name="Bad 2 17" xfId="1626"/>
    <cellStyle name="Bad 2 2" xfId="1627"/>
    <cellStyle name="Bad 2 3" xfId="1628"/>
    <cellStyle name="Bad 2 4" xfId="1629"/>
    <cellStyle name="Bad 2 5" xfId="1630"/>
    <cellStyle name="Bad 2 6" xfId="1631"/>
    <cellStyle name="Bad 2 7" xfId="1632"/>
    <cellStyle name="Bad 2 8" xfId="1633"/>
    <cellStyle name="Bad 2 9" xfId="1634"/>
    <cellStyle name="Bad 3 10" xfId="1635"/>
    <cellStyle name="Bad 3 11" xfId="1636"/>
    <cellStyle name="Bad 3 12" xfId="1637"/>
    <cellStyle name="Bad 3 13" xfId="1638"/>
    <cellStyle name="Bad 3 14" xfId="1639"/>
    <cellStyle name="Bad 3 15" xfId="1640"/>
    <cellStyle name="Bad 3 16" xfId="1641"/>
    <cellStyle name="Bad 3 17" xfId="1642"/>
    <cellStyle name="Bad 3 2" xfId="1643"/>
    <cellStyle name="Bad 3 3" xfId="1644"/>
    <cellStyle name="Bad 3 4" xfId="1645"/>
    <cellStyle name="Bad 3 5" xfId="1646"/>
    <cellStyle name="Bad 3 6" xfId="1647"/>
    <cellStyle name="Bad 3 7" xfId="1648"/>
    <cellStyle name="Bad 3 8" xfId="1649"/>
    <cellStyle name="Bad 3 9" xfId="1650"/>
    <cellStyle name="Calcolo" xfId="1651"/>
    <cellStyle name="Calcolo 2" xfId="1652"/>
    <cellStyle name="Calcolo 2 2" xfId="1653"/>
    <cellStyle name="Calcolo 3" xfId="1654"/>
    <cellStyle name="Calcolo 4" xfId="1655"/>
    <cellStyle name="Calculation" xfId="1656"/>
    <cellStyle name="Calculation 2" xfId="1657"/>
    <cellStyle name="Calculation 2 10" xfId="1658"/>
    <cellStyle name="Calculation 2 11" xfId="1659"/>
    <cellStyle name="Calculation 2 12" xfId="1660"/>
    <cellStyle name="Calculation 2 13" xfId="1661"/>
    <cellStyle name="Calculation 2 14" xfId="1662"/>
    <cellStyle name="Calculation 2 15" xfId="1663"/>
    <cellStyle name="Calculation 2 16" xfId="1664"/>
    <cellStyle name="Calculation 2 17" xfId="1665"/>
    <cellStyle name="Calculation 2 2" xfId="1666"/>
    <cellStyle name="Calculation 2 3" xfId="1667"/>
    <cellStyle name="Calculation 2 4" xfId="1668"/>
    <cellStyle name="Calculation 2 5" xfId="1669"/>
    <cellStyle name="Calculation 2 6" xfId="1670"/>
    <cellStyle name="Calculation 2 7" xfId="1671"/>
    <cellStyle name="Calculation 2 8" xfId="1672"/>
    <cellStyle name="Calculation 2 9" xfId="1673"/>
    <cellStyle name="Calculation 3 10" xfId="1674"/>
    <cellStyle name="Calculation 3 11" xfId="1675"/>
    <cellStyle name="Calculation 3 12" xfId="1676"/>
    <cellStyle name="Calculation 3 13" xfId="1677"/>
    <cellStyle name="Calculation 3 14" xfId="1678"/>
    <cellStyle name="Calculation 3 15" xfId="1679"/>
    <cellStyle name="Calculation 3 16" xfId="1680"/>
    <cellStyle name="Calculation 3 17" xfId="1681"/>
    <cellStyle name="Calculation 3 2" xfId="1682"/>
    <cellStyle name="Calculation 3 3" xfId="1683"/>
    <cellStyle name="Calculation 3 4" xfId="1684"/>
    <cellStyle name="Calculation 3 5" xfId="1685"/>
    <cellStyle name="Calculation 3 6" xfId="1686"/>
    <cellStyle name="Calculation 3 7" xfId="1687"/>
    <cellStyle name="Calculation 3 8" xfId="1688"/>
    <cellStyle name="Calculation 3 9" xfId="1689"/>
    <cellStyle name="Cella collegata" xfId="1690"/>
    <cellStyle name="Cella collegata 2" xfId="1691"/>
    <cellStyle name="Cella collegata 2 2" xfId="1692"/>
    <cellStyle name="Cella collegata 3" xfId="1693"/>
    <cellStyle name="Cella collegata 4" xfId="1694"/>
    <cellStyle name="Cella da controllare" xfId="1695"/>
    <cellStyle name="Cella da controllare 2" xfId="1696"/>
    <cellStyle name="Cella da controllare 2 2" xfId="1697"/>
    <cellStyle name="Cella da controllare 3" xfId="1698"/>
    <cellStyle name="Cella da controllare 4" xfId="1699"/>
    <cellStyle name="Check Cell" xfId="1700"/>
    <cellStyle name="Check Cell 2" xfId="1701"/>
    <cellStyle name="Check Cell 2 10" xfId="1702"/>
    <cellStyle name="Check Cell 2 11" xfId="1703"/>
    <cellStyle name="Check Cell 2 12" xfId="1704"/>
    <cellStyle name="Check Cell 2 13" xfId="1705"/>
    <cellStyle name="Check Cell 2 14" xfId="1706"/>
    <cellStyle name="Check Cell 2 15" xfId="1707"/>
    <cellStyle name="Check Cell 2 16" xfId="1708"/>
    <cellStyle name="Check Cell 2 17" xfId="1709"/>
    <cellStyle name="Check Cell 2 2" xfId="1710"/>
    <cellStyle name="Check Cell 2 3" xfId="1711"/>
    <cellStyle name="Check Cell 2 4" xfId="1712"/>
    <cellStyle name="Check Cell 2 5" xfId="1713"/>
    <cellStyle name="Check Cell 2 6" xfId="1714"/>
    <cellStyle name="Check Cell 2 7" xfId="1715"/>
    <cellStyle name="Check Cell 2 8" xfId="1716"/>
    <cellStyle name="Check Cell 2 9" xfId="1717"/>
    <cellStyle name="Check Cell 3 10" xfId="1718"/>
    <cellStyle name="Check Cell 3 11" xfId="1719"/>
    <cellStyle name="Check Cell 3 12" xfId="1720"/>
    <cellStyle name="Check Cell 3 13" xfId="1721"/>
    <cellStyle name="Check Cell 3 14" xfId="1722"/>
    <cellStyle name="Check Cell 3 15" xfId="1723"/>
    <cellStyle name="Check Cell 3 16" xfId="1724"/>
    <cellStyle name="Check Cell 3 17" xfId="1725"/>
    <cellStyle name="Check Cell 3 2" xfId="1726"/>
    <cellStyle name="Check Cell 3 3" xfId="1727"/>
    <cellStyle name="Check Cell 3 4" xfId="1728"/>
    <cellStyle name="Check Cell 3 5" xfId="1729"/>
    <cellStyle name="Check Cell 3 6" xfId="1730"/>
    <cellStyle name="Check Cell 3 7" xfId="1731"/>
    <cellStyle name="Check Cell 3 8" xfId="1732"/>
    <cellStyle name="Check Cell 3 9" xfId="1733"/>
    <cellStyle name="Colore 1" xfId="1734"/>
    <cellStyle name="Colore 1 2" xfId="1735"/>
    <cellStyle name="Colore 1 2 2" xfId="1736"/>
    <cellStyle name="Colore 1 3" xfId="1737"/>
    <cellStyle name="Colore 1 4" xfId="1738"/>
    <cellStyle name="Colore 2" xfId="1739"/>
    <cellStyle name="Colore 2 2" xfId="1740"/>
    <cellStyle name="Colore 2 2 2" xfId="1741"/>
    <cellStyle name="Colore 2 3" xfId="1742"/>
    <cellStyle name="Colore 2 4" xfId="1743"/>
    <cellStyle name="Colore 3" xfId="1744"/>
    <cellStyle name="Colore 3 2" xfId="1745"/>
    <cellStyle name="Colore 3 2 2" xfId="1746"/>
    <cellStyle name="Colore 3 3" xfId="1747"/>
    <cellStyle name="Colore 3 4" xfId="1748"/>
    <cellStyle name="Colore 4" xfId="1749"/>
    <cellStyle name="Colore 4 2" xfId="1750"/>
    <cellStyle name="Colore 4 2 2" xfId="1751"/>
    <cellStyle name="Colore 4 3" xfId="1752"/>
    <cellStyle name="Colore 4 4" xfId="1753"/>
    <cellStyle name="Colore 5" xfId="1754"/>
    <cellStyle name="Colore 5 2" xfId="1755"/>
    <cellStyle name="Colore 5 2 2" xfId="1756"/>
    <cellStyle name="Colore 5 3" xfId="1757"/>
    <cellStyle name="Colore 5 4" xfId="1758"/>
    <cellStyle name="Colore 6" xfId="1759"/>
    <cellStyle name="Colore 6 2" xfId="1760"/>
    <cellStyle name="Colore 6 2 2" xfId="1761"/>
    <cellStyle name="Colore 6 3" xfId="1762"/>
    <cellStyle name="Colore 6 4" xfId="1763"/>
    <cellStyle name="Comma" xfId="1764"/>
    <cellStyle name="Comma [0]" xfId="1765"/>
    <cellStyle name="Comma 2" xfId="1766"/>
    <cellStyle name="Comma 2 2" xfId="1767"/>
    <cellStyle name="Comma 2 2 2" xfId="1768"/>
    <cellStyle name="Comma 2 2 2 2" xfId="1769"/>
    <cellStyle name="Comma 2 2 2 3" xfId="1770"/>
    <cellStyle name="Comma 2 3" xfId="1771"/>
    <cellStyle name="Comma 2 3 2" xfId="1772"/>
    <cellStyle name="Comma 2 3 3" xfId="1773"/>
    <cellStyle name="Comma 2 4" xfId="1774"/>
    <cellStyle name="Comma 2 4 2" xfId="1775"/>
    <cellStyle name="Comma 2 4 3" xfId="1776"/>
    <cellStyle name="Comma 2 5" xfId="1777"/>
    <cellStyle name="Comma 2 5 2" xfId="1778"/>
    <cellStyle name="Comma 2 6" xfId="1779"/>
    <cellStyle name="Comma 2 7" xfId="1780"/>
    <cellStyle name="Comma 3" xfId="1781"/>
    <cellStyle name="Comma 3 2" xfId="1782"/>
    <cellStyle name="Comma 3 2 2" xfId="1783"/>
    <cellStyle name="Comma 3 2 2 2" xfId="1784"/>
    <cellStyle name="Comma 3 3" xfId="1785"/>
    <cellStyle name="Comma 3 4" xfId="1786"/>
    <cellStyle name="Comma 4" xfId="1787"/>
    <cellStyle name="Comma 4 2" xfId="1788"/>
    <cellStyle name="Comma 4 2 2" xfId="1789"/>
    <cellStyle name="Comma 4 2 2 2" xfId="1790"/>
    <cellStyle name="Comma 4 2 3" xfId="1791"/>
    <cellStyle name="Comma 4 2 4" xfId="1792"/>
    <cellStyle name="Comma 4 3" xfId="1793"/>
    <cellStyle name="Comma 4 3 2" xfId="1794"/>
    <cellStyle name="Comma 4 3 3" xfId="1795"/>
    <cellStyle name="Comma 4 4" xfId="1796"/>
    <cellStyle name="Comma 4 5" xfId="1797"/>
    <cellStyle name="Comma 5" xfId="1798"/>
    <cellStyle name="Comma 5 2" xfId="1799"/>
    <cellStyle name="Comma 5 3" xfId="1800"/>
    <cellStyle name="Comma 6" xfId="1801"/>
    <cellStyle name="Currency" xfId="1802"/>
    <cellStyle name="Currency [0]" xfId="1803"/>
    <cellStyle name="Explanatory Text" xfId="1804"/>
    <cellStyle name="Explanatory Text 2" xfId="1805"/>
    <cellStyle name="Explanatory Text 2 10" xfId="1806"/>
    <cellStyle name="Explanatory Text 2 11" xfId="1807"/>
    <cellStyle name="Explanatory Text 2 12" xfId="1808"/>
    <cellStyle name="Explanatory Text 2 13" xfId="1809"/>
    <cellStyle name="Explanatory Text 2 14" xfId="1810"/>
    <cellStyle name="Explanatory Text 2 15" xfId="1811"/>
    <cellStyle name="Explanatory Text 2 16" xfId="1812"/>
    <cellStyle name="Explanatory Text 2 17" xfId="1813"/>
    <cellStyle name="Explanatory Text 2 2" xfId="1814"/>
    <cellStyle name="Explanatory Text 2 3" xfId="1815"/>
    <cellStyle name="Explanatory Text 2 4" xfId="1816"/>
    <cellStyle name="Explanatory Text 2 5" xfId="1817"/>
    <cellStyle name="Explanatory Text 2 6" xfId="1818"/>
    <cellStyle name="Explanatory Text 2 7" xfId="1819"/>
    <cellStyle name="Explanatory Text 2 8" xfId="1820"/>
    <cellStyle name="Explanatory Text 2 9" xfId="1821"/>
    <cellStyle name="Explanatory Text 3 10" xfId="1822"/>
    <cellStyle name="Explanatory Text 3 11" xfId="1823"/>
    <cellStyle name="Explanatory Text 3 12" xfId="1824"/>
    <cellStyle name="Explanatory Text 3 13" xfId="1825"/>
    <cellStyle name="Explanatory Text 3 14" xfId="1826"/>
    <cellStyle name="Explanatory Text 3 15" xfId="1827"/>
    <cellStyle name="Explanatory Text 3 16" xfId="1828"/>
    <cellStyle name="Explanatory Text 3 17" xfId="1829"/>
    <cellStyle name="Explanatory Text 3 2" xfId="1830"/>
    <cellStyle name="Explanatory Text 3 3" xfId="1831"/>
    <cellStyle name="Explanatory Text 3 4" xfId="1832"/>
    <cellStyle name="Explanatory Text 3 5" xfId="1833"/>
    <cellStyle name="Explanatory Text 3 6" xfId="1834"/>
    <cellStyle name="Explanatory Text 3 7" xfId="1835"/>
    <cellStyle name="Explanatory Text 3 8" xfId="1836"/>
    <cellStyle name="Explanatory Text 3 9" xfId="1837"/>
    <cellStyle name="Followed Hyperlink" xfId="1838"/>
    <cellStyle name="Good" xfId="1839"/>
    <cellStyle name="Good 2" xfId="1840"/>
    <cellStyle name="Good 2 10" xfId="1841"/>
    <cellStyle name="Good 2 11" xfId="1842"/>
    <cellStyle name="Good 2 12" xfId="1843"/>
    <cellStyle name="Good 2 13" xfId="1844"/>
    <cellStyle name="Good 2 14" xfId="1845"/>
    <cellStyle name="Good 2 15" xfId="1846"/>
    <cellStyle name="Good 2 16" xfId="1847"/>
    <cellStyle name="Good 2 17" xfId="1848"/>
    <cellStyle name="Good 2 2" xfId="1849"/>
    <cellStyle name="Good 2 3" xfId="1850"/>
    <cellStyle name="Good 2 4" xfId="1851"/>
    <cellStyle name="Good 2 5" xfId="1852"/>
    <cellStyle name="Good 2 6" xfId="1853"/>
    <cellStyle name="Good 2 7" xfId="1854"/>
    <cellStyle name="Good 2 8" xfId="1855"/>
    <cellStyle name="Good 2 9" xfId="1856"/>
    <cellStyle name="Good 3 10" xfId="1857"/>
    <cellStyle name="Good 3 11" xfId="1858"/>
    <cellStyle name="Good 3 12" xfId="1859"/>
    <cellStyle name="Good 3 13" xfId="1860"/>
    <cellStyle name="Good 3 14" xfId="1861"/>
    <cellStyle name="Good 3 15" xfId="1862"/>
    <cellStyle name="Good 3 16" xfId="1863"/>
    <cellStyle name="Good 3 17" xfId="1864"/>
    <cellStyle name="Good 3 2" xfId="1865"/>
    <cellStyle name="Good 3 3" xfId="1866"/>
    <cellStyle name="Good 3 4" xfId="1867"/>
    <cellStyle name="Good 3 5" xfId="1868"/>
    <cellStyle name="Good 3 6" xfId="1869"/>
    <cellStyle name="Good 3 7" xfId="1870"/>
    <cellStyle name="Good 3 8" xfId="1871"/>
    <cellStyle name="Good 3 9" xfId="1872"/>
    <cellStyle name="Heading 1" xfId="1873"/>
    <cellStyle name="Heading 1 2" xfId="1874"/>
    <cellStyle name="Heading 1 2 10" xfId="1875"/>
    <cellStyle name="Heading 1 2 11" xfId="1876"/>
    <cellStyle name="Heading 1 2 12" xfId="1877"/>
    <cellStyle name="Heading 1 2 13" xfId="1878"/>
    <cellStyle name="Heading 1 2 14" xfId="1879"/>
    <cellStyle name="Heading 1 2 15" xfId="1880"/>
    <cellStyle name="Heading 1 2 16" xfId="1881"/>
    <cellStyle name="Heading 1 2 17" xfId="1882"/>
    <cellStyle name="Heading 1 2 18" xfId="1883"/>
    <cellStyle name="Heading 1 2 2" xfId="1884"/>
    <cellStyle name="Heading 1 2 2 2" xfId="1885"/>
    <cellStyle name="Heading 1 2 3" xfId="1886"/>
    <cellStyle name="Heading 1 2 4" xfId="1887"/>
    <cellStyle name="Heading 1 2 5" xfId="1888"/>
    <cellStyle name="Heading 1 2 6" xfId="1889"/>
    <cellStyle name="Heading 1 2 7" xfId="1890"/>
    <cellStyle name="Heading 1 2 8" xfId="1891"/>
    <cellStyle name="Heading 1 2 9" xfId="1892"/>
    <cellStyle name="Heading 1 3" xfId="1893"/>
    <cellStyle name="Heading 1 3 10" xfId="1894"/>
    <cellStyle name="Heading 1 3 11" xfId="1895"/>
    <cellStyle name="Heading 1 3 12" xfId="1896"/>
    <cellStyle name="Heading 1 3 13" xfId="1897"/>
    <cellStyle name="Heading 1 3 14" xfId="1898"/>
    <cellStyle name="Heading 1 3 15" xfId="1899"/>
    <cellStyle name="Heading 1 3 16" xfId="1900"/>
    <cellStyle name="Heading 1 3 17" xfId="1901"/>
    <cellStyle name="Heading 1 3 2" xfId="1902"/>
    <cellStyle name="Heading 1 3 3" xfId="1903"/>
    <cellStyle name="Heading 1 3 4" xfId="1904"/>
    <cellStyle name="Heading 1 3 5" xfId="1905"/>
    <cellStyle name="Heading 1 3 6" xfId="1906"/>
    <cellStyle name="Heading 1 3 7" xfId="1907"/>
    <cellStyle name="Heading 1 3 8" xfId="1908"/>
    <cellStyle name="Heading 1 3 9" xfId="1909"/>
    <cellStyle name="Heading 2" xfId="1910"/>
    <cellStyle name="Heading 2 2" xfId="1911"/>
    <cellStyle name="Heading 2 2 10" xfId="1912"/>
    <cellStyle name="Heading 2 2 11" xfId="1913"/>
    <cellStyle name="Heading 2 2 12" xfId="1914"/>
    <cellStyle name="Heading 2 2 13" xfId="1915"/>
    <cellStyle name="Heading 2 2 14" xfId="1916"/>
    <cellStyle name="Heading 2 2 15" xfId="1917"/>
    <cellStyle name="Heading 2 2 16" xfId="1918"/>
    <cellStyle name="Heading 2 2 17" xfId="1919"/>
    <cellStyle name="Heading 2 2 2" xfId="1920"/>
    <cellStyle name="Heading 2 2 3" xfId="1921"/>
    <cellStyle name="Heading 2 2 4" xfId="1922"/>
    <cellStyle name="Heading 2 2 5" xfId="1923"/>
    <cellStyle name="Heading 2 2 6" xfId="1924"/>
    <cellStyle name="Heading 2 2 7" xfId="1925"/>
    <cellStyle name="Heading 2 2 8" xfId="1926"/>
    <cellStyle name="Heading 2 2 9" xfId="1927"/>
    <cellStyle name="Heading 2 3 10" xfId="1928"/>
    <cellStyle name="Heading 2 3 11" xfId="1929"/>
    <cellStyle name="Heading 2 3 12" xfId="1930"/>
    <cellStyle name="Heading 2 3 13" xfId="1931"/>
    <cellStyle name="Heading 2 3 14" xfId="1932"/>
    <cellStyle name="Heading 2 3 15" xfId="1933"/>
    <cellStyle name="Heading 2 3 16" xfId="1934"/>
    <cellStyle name="Heading 2 3 17" xfId="1935"/>
    <cellStyle name="Heading 2 3 2" xfId="1936"/>
    <cellStyle name="Heading 2 3 3" xfId="1937"/>
    <cellStyle name="Heading 2 3 4" xfId="1938"/>
    <cellStyle name="Heading 2 3 5" xfId="1939"/>
    <cellStyle name="Heading 2 3 6" xfId="1940"/>
    <cellStyle name="Heading 2 3 7" xfId="1941"/>
    <cellStyle name="Heading 2 3 8" xfId="1942"/>
    <cellStyle name="Heading 2 3 9" xfId="1943"/>
    <cellStyle name="Heading 3" xfId="1944"/>
    <cellStyle name="Heading 3 2" xfId="1945"/>
    <cellStyle name="Heading 3 2 10" xfId="1946"/>
    <cellStyle name="Heading 3 2 11" xfId="1947"/>
    <cellStyle name="Heading 3 2 12" xfId="1948"/>
    <cellStyle name="Heading 3 2 13" xfId="1949"/>
    <cellStyle name="Heading 3 2 14" xfId="1950"/>
    <cellStyle name="Heading 3 2 15" xfId="1951"/>
    <cellStyle name="Heading 3 2 16" xfId="1952"/>
    <cellStyle name="Heading 3 2 17" xfId="1953"/>
    <cellStyle name="Heading 3 2 2" xfId="1954"/>
    <cellStyle name="Heading 3 2 3" xfId="1955"/>
    <cellStyle name="Heading 3 2 4" xfId="1956"/>
    <cellStyle name="Heading 3 2 5" xfId="1957"/>
    <cellStyle name="Heading 3 2 6" xfId="1958"/>
    <cellStyle name="Heading 3 2 7" xfId="1959"/>
    <cellStyle name="Heading 3 2 8" xfId="1960"/>
    <cellStyle name="Heading 3 2 9" xfId="1961"/>
    <cellStyle name="Heading 3 3 10" xfId="1962"/>
    <cellStyle name="Heading 3 3 11" xfId="1963"/>
    <cellStyle name="Heading 3 3 12" xfId="1964"/>
    <cellStyle name="Heading 3 3 13" xfId="1965"/>
    <cellStyle name="Heading 3 3 14" xfId="1966"/>
    <cellStyle name="Heading 3 3 15" xfId="1967"/>
    <cellStyle name="Heading 3 3 16" xfId="1968"/>
    <cellStyle name="Heading 3 3 17" xfId="1969"/>
    <cellStyle name="Heading 3 3 2" xfId="1970"/>
    <cellStyle name="Heading 3 3 3" xfId="1971"/>
    <cellStyle name="Heading 3 3 4" xfId="1972"/>
    <cellStyle name="Heading 3 3 5" xfId="1973"/>
    <cellStyle name="Heading 3 3 6" xfId="1974"/>
    <cellStyle name="Heading 3 3 7" xfId="1975"/>
    <cellStyle name="Heading 3 3 8" xfId="1976"/>
    <cellStyle name="Heading 3 3 9" xfId="1977"/>
    <cellStyle name="Heading 4" xfId="1978"/>
    <cellStyle name="Heading 4 2" xfId="1979"/>
    <cellStyle name="Heading 4 2 10" xfId="1980"/>
    <cellStyle name="Heading 4 2 11" xfId="1981"/>
    <cellStyle name="Heading 4 2 12" xfId="1982"/>
    <cellStyle name="Heading 4 2 13" xfId="1983"/>
    <cellStyle name="Heading 4 2 14" xfId="1984"/>
    <cellStyle name="Heading 4 2 15" xfId="1985"/>
    <cellStyle name="Heading 4 2 16" xfId="1986"/>
    <cellStyle name="Heading 4 2 17" xfId="1987"/>
    <cellStyle name="Heading 4 2 2" xfId="1988"/>
    <cellStyle name="Heading 4 2 3" xfId="1989"/>
    <cellStyle name="Heading 4 2 4" xfId="1990"/>
    <cellStyle name="Heading 4 2 5" xfId="1991"/>
    <cellStyle name="Heading 4 2 6" xfId="1992"/>
    <cellStyle name="Heading 4 2 7" xfId="1993"/>
    <cellStyle name="Heading 4 2 8" xfId="1994"/>
    <cellStyle name="Heading 4 2 9" xfId="1995"/>
    <cellStyle name="Heading 4 3 10" xfId="1996"/>
    <cellStyle name="Heading 4 3 11" xfId="1997"/>
    <cellStyle name="Heading 4 3 12" xfId="1998"/>
    <cellStyle name="Heading 4 3 13" xfId="1999"/>
    <cellStyle name="Heading 4 3 14" xfId="2000"/>
    <cellStyle name="Heading 4 3 15" xfId="2001"/>
    <cellStyle name="Heading 4 3 16" xfId="2002"/>
    <cellStyle name="Heading 4 3 17" xfId="2003"/>
    <cellStyle name="Heading 4 3 2" xfId="2004"/>
    <cellStyle name="Heading 4 3 3" xfId="2005"/>
    <cellStyle name="Heading 4 3 4" xfId="2006"/>
    <cellStyle name="Heading 4 3 5" xfId="2007"/>
    <cellStyle name="Heading 4 3 6" xfId="2008"/>
    <cellStyle name="Heading 4 3 7" xfId="2009"/>
    <cellStyle name="Heading 4 3 8" xfId="2010"/>
    <cellStyle name="Heading 4 3 9" xfId="2011"/>
    <cellStyle name="Hyperlink" xfId="2012"/>
    <cellStyle name="Hyperlink 2" xfId="2013"/>
    <cellStyle name="Hyperlink 3" xfId="2014"/>
    <cellStyle name="Input" xfId="2015"/>
    <cellStyle name="Input 2" xfId="2016"/>
    <cellStyle name="Input 2 10" xfId="2017"/>
    <cellStyle name="Input 2 11" xfId="2018"/>
    <cellStyle name="Input 2 12" xfId="2019"/>
    <cellStyle name="Input 2 13" xfId="2020"/>
    <cellStyle name="Input 2 14" xfId="2021"/>
    <cellStyle name="Input 2 15" xfId="2022"/>
    <cellStyle name="Input 2 16" xfId="2023"/>
    <cellStyle name="Input 2 17" xfId="2024"/>
    <cellStyle name="Input 2 18" xfId="2025"/>
    <cellStyle name="Input 2 19" xfId="2026"/>
    <cellStyle name="Input 2 2" xfId="2027"/>
    <cellStyle name="Input 2 20" xfId="2028"/>
    <cellStyle name="Input 2 3" xfId="2029"/>
    <cellStyle name="Input 2 4" xfId="2030"/>
    <cellStyle name="Input 2 5" xfId="2031"/>
    <cellStyle name="Input 2 6" xfId="2032"/>
    <cellStyle name="Input 2 7" xfId="2033"/>
    <cellStyle name="Input 2 8" xfId="2034"/>
    <cellStyle name="Input 2 9" xfId="2035"/>
    <cellStyle name="Input 3" xfId="2036"/>
    <cellStyle name="Input 3 10" xfId="2037"/>
    <cellStyle name="Input 3 11" xfId="2038"/>
    <cellStyle name="Input 3 12" xfId="2039"/>
    <cellStyle name="Input 3 13" xfId="2040"/>
    <cellStyle name="Input 3 14" xfId="2041"/>
    <cellStyle name="Input 3 15" xfId="2042"/>
    <cellStyle name="Input 3 16" xfId="2043"/>
    <cellStyle name="Input 3 17" xfId="2044"/>
    <cellStyle name="Input 3 2" xfId="2045"/>
    <cellStyle name="Input 3 3" xfId="2046"/>
    <cellStyle name="Input 3 4" xfId="2047"/>
    <cellStyle name="Input 3 5" xfId="2048"/>
    <cellStyle name="Input 3 6" xfId="2049"/>
    <cellStyle name="Input 3 7" xfId="2050"/>
    <cellStyle name="Input 3 8" xfId="2051"/>
    <cellStyle name="Input 3 9" xfId="2052"/>
    <cellStyle name="Input 4" xfId="2053"/>
    <cellStyle name="Linked Cell" xfId="2054"/>
    <cellStyle name="Linked Cell 2" xfId="2055"/>
    <cellStyle name="Linked Cell 2 10" xfId="2056"/>
    <cellStyle name="Linked Cell 2 11" xfId="2057"/>
    <cellStyle name="Linked Cell 2 12" xfId="2058"/>
    <cellStyle name="Linked Cell 2 13" xfId="2059"/>
    <cellStyle name="Linked Cell 2 14" xfId="2060"/>
    <cellStyle name="Linked Cell 2 15" xfId="2061"/>
    <cellStyle name="Linked Cell 2 16" xfId="2062"/>
    <cellStyle name="Linked Cell 2 17" xfId="2063"/>
    <cellStyle name="Linked Cell 2 2" xfId="2064"/>
    <cellStyle name="Linked Cell 2 3" xfId="2065"/>
    <cellStyle name="Linked Cell 2 4" xfId="2066"/>
    <cellStyle name="Linked Cell 2 5" xfId="2067"/>
    <cellStyle name="Linked Cell 2 6" xfId="2068"/>
    <cellStyle name="Linked Cell 2 7" xfId="2069"/>
    <cellStyle name="Linked Cell 2 8" xfId="2070"/>
    <cellStyle name="Linked Cell 2 9" xfId="2071"/>
    <cellStyle name="Linked Cell 3 10" xfId="2072"/>
    <cellStyle name="Linked Cell 3 11" xfId="2073"/>
    <cellStyle name="Linked Cell 3 12" xfId="2074"/>
    <cellStyle name="Linked Cell 3 13" xfId="2075"/>
    <cellStyle name="Linked Cell 3 14" xfId="2076"/>
    <cellStyle name="Linked Cell 3 15" xfId="2077"/>
    <cellStyle name="Linked Cell 3 16" xfId="2078"/>
    <cellStyle name="Linked Cell 3 17" xfId="2079"/>
    <cellStyle name="Linked Cell 3 2" xfId="2080"/>
    <cellStyle name="Linked Cell 3 3" xfId="2081"/>
    <cellStyle name="Linked Cell 3 4" xfId="2082"/>
    <cellStyle name="Linked Cell 3 5" xfId="2083"/>
    <cellStyle name="Linked Cell 3 6" xfId="2084"/>
    <cellStyle name="Linked Cell 3 7" xfId="2085"/>
    <cellStyle name="Linked Cell 3 8" xfId="2086"/>
    <cellStyle name="Linked Cell 3 9" xfId="2087"/>
    <cellStyle name="Migliaia 2" xfId="2088"/>
    <cellStyle name="Migliaia 2 2" xfId="2089"/>
    <cellStyle name="Migliaia 2 3" xfId="2090"/>
    <cellStyle name="Migliaia 3" xfId="2091"/>
    <cellStyle name="Migliaia 3 2" xfId="2092"/>
    <cellStyle name="Migliaia 3 3" xfId="2093"/>
    <cellStyle name="Neutral" xfId="2094"/>
    <cellStyle name="Neutral 2" xfId="2095"/>
    <cellStyle name="Neutral 2 10" xfId="2096"/>
    <cellStyle name="Neutral 2 11" xfId="2097"/>
    <cellStyle name="Neutral 2 12" xfId="2098"/>
    <cellStyle name="Neutral 2 13" xfId="2099"/>
    <cellStyle name="Neutral 2 14" xfId="2100"/>
    <cellStyle name="Neutral 2 15" xfId="2101"/>
    <cellStyle name="Neutral 2 16" xfId="2102"/>
    <cellStyle name="Neutral 2 17" xfId="2103"/>
    <cellStyle name="Neutral 2 2" xfId="2104"/>
    <cellStyle name="Neutral 2 3" xfId="2105"/>
    <cellStyle name="Neutral 2 4" xfId="2106"/>
    <cellStyle name="Neutral 2 5" xfId="2107"/>
    <cellStyle name="Neutral 2 6" xfId="2108"/>
    <cellStyle name="Neutral 2 7" xfId="2109"/>
    <cellStyle name="Neutral 2 8" xfId="2110"/>
    <cellStyle name="Neutral 2 9" xfId="2111"/>
    <cellStyle name="Neutral 3 10" xfId="2112"/>
    <cellStyle name="Neutral 3 11" xfId="2113"/>
    <cellStyle name="Neutral 3 12" xfId="2114"/>
    <cellStyle name="Neutral 3 13" xfId="2115"/>
    <cellStyle name="Neutral 3 14" xfId="2116"/>
    <cellStyle name="Neutral 3 15" xfId="2117"/>
    <cellStyle name="Neutral 3 16" xfId="2118"/>
    <cellStyle name="Neutral 3 17" xfId="2119"/>
    <cellStyle name="Neutral 3 2" xfId="2120"/>
    <cellStyle name="Neutral 3 3" xfId="2121"/>
    <cellStyle name="Neutral 3 4" xfId="2122"/>
    <cellStyle name="Neutral 3 5" xfId="2123"/>
    <cellStyle name="Neutral 3 6" xfId="2124"/>
    <cellStyle name="Neutral 3 7" xfId="2125"/>
    <cellStyle name="Neutral 3 8" xfId="2126"/>
    <cellStyle name="Neutral 3 9" xfId="2127"/>
    <cellStyle name="Neutrale" xfId="2128"/>
    <cellStyle name="Neutrale 2" xfId="2129"/>
    <cellStyle name="Neutrale 2 2" xfId="2130"/>
    <cellStyle name="Neutrale 3" xfId="2131"/>
    <cellStyle name="Neutrale 4" xfId="2132"/>
    <cellStyle name="Normal 10" xfId="2133"/>
    <cellStyle name="Normal 10 2" xfId="2134"/>
    <cellStyle name="Normal 10 3" xfId="2135"/>
    <cellStyle name="Normal 11" xfId="2136"/>
    <cellStyle name="Normal 11 2" xfId="2137"/>
    <cellStyle name="Normal 11 2 2" xfId="2138"/>
    <cellStyle name="Normal 12" xfId="2139"/>
    <cellStyle name="Normal 13" xfId="2140"/>
    <cellStyle name="Normal 13 2" xfId="2141"/>
    <cellStyle name="Normal 14" xfId="2142"/>
    <cellStyle name="Normal 14 2" xfId="2143"/>
    <cellStyle name="Normal 14 2 3" xfId="2144"/>
    <cellStyle name="Normal 15" xfId="2145"/>
    <cellStyle name="Normal 15 2" xfId="2146"/>
    <cellStyle name="Normal 15 3" xfId="2147"/>
    <cellStyle name="Normal 16" xfId="2148"/>
    <cellStyle name="Normal 17" xfId="2149"/>
    <cellStyle name="Normal 17 2" xfId="2150"/>
    <cellStyle name="Normal 18" xfId="2151"/>
    <cellStyle name="Normal 19" xfId="2152"/>
    <cellStyle name="Normal 2" xfId="2153"/>
    <cellStyle name="Normal 2 10" xfId="2154"/>
    <cellStyle name="Normal 2 10 2" xfId="2155"/>
    <cellStyle name="Normal 2 11" xfId="2156"/>
    <cellStyle name="Normal 2 11 2" xfId="2157"/>
    <cellStyle name="Normal 2 11 3" xfId="2158"/>
    <cellStyle name="Normal 2 11 3 2" xfId="2159"/>
    <cellStyle name="Normal 2 12" xfId="2160"/>
    <cellStyle name="Normal 2 12 2" xfId="2161"/>
    <cellStyle name="Normal 2 13" xfId="2162"/>
    <cellStyle name="Normal 2 13 2" xfId="2163"/>
    <cellStyle name="Normal 2 13 8" xfId="2164"/>
    <cellStyle name="Normal 2 14" xfId="2165"/>
    <cellStyle name="Normal 2 15" xfId="2166"/>
    <cellStyle name="Normal 2 16" xfId="2167"/>
    <cellStyle name="Normal 2 18" xfId="2168"/>
    <cellStyle name="Normal 2 2" xfId="2169"/>
    <cellStyle name="Normal 2 2 10" xfId="2170"/>
    <cellStyle name="Normal 2 2 11" xfId="2171"/>
    <cellStyle name="Normal 2 2 12" xfId="2172"/>
    <cellStyle name="Normal 2 2 12 2" xfId="2173"/>
    <cellStyle name="Normal 2 2 12 3" xfId="2174"/>
    <cellStyle name="Normal 2 2 13" xfId="2175"/>
    <cellStyle name="Normal 2 2 14" xfId="2176"/>
    <cellStyle name="Normal 2 2 2" xfId="2177"/>
    <cellStyle name="Normal 2 2 2 2" xfId="2178"/>
    <cellStyle name="Normal 2 2 2 2 2" xfId="2179"/>
    <cellStyle name="Normal 2 2 2 2 2 2" xfId="2180"/>
    <cellStyle name="Normal 2 2 2 2 3" xfId="2181"/>
    <cellStyle name="Normal 2 2 2 3" xfId="2182"/>
    <cellStyle name="Normal 2 2 2 3 2" xfId="2183"/>
    <cellStyle name="Normal 2 2 2 4" xfId="2184"/>
    <cellStyle name="Normal 2 2 2 4 2" xfId="2185"/>
    <cellStyle name="Normal 2 2 2 5" xfId="2186"/>
    <cellStyle name="Normal 2 2 3" xfId="2187"/>
    <cellStyle name="Normal 2 2 4" xfId="2188"/>
    <cellStyle name="Normal 2 2 5" xfId="2189"/>
    <cellStyle name="Normal 2 2 5 2" xfId="2190"/>
    <cellStyle name="Normal 2 2 5 3" xfId="2191"/>
    <cellStyle name="Normal 2 2 5 3 2" xfId="2192"/>
    <cellStyle name="Normal 2 2 5 4" xfId="2193"/>
    <cellStyle name="Normal 2 2 6" xfId="2194"/>
    <cellStyle name="Normal 2 2 6 2" xfId="2195"/>
    <cellStyle name="Normal 2 2 7" xfId="2196"/>
    <cellStyle name="Normal 2 2 8" xfId="2197"/>
    <cellStyle name="Normal 2 2 8 2" xfId="2198"/>
    <cellStyle name="Normal 2 2 8 2 2" xfId="2199"/>
    <cellStyle name="Normal 2 2 8 3" xfId="2200"/>
    <cellStyle name="Normal 2 2 9" xfId="2201"/>
    <cellStyle name="Normal 2 3" xfId="2202"/>
    <cellStyle name="Normal 2 3 10" xfId="2203"/>
    <cellStyle name="Normal 2 3 11" xfId="2204"/>
    <cellStyle name="Normal 2 3 2" xfId="2205"/>
    <cellStyle name="Normal 2 3 2 2" xfId="2206"/>
    <cellStyle name="Normal 2 3 2 3" xfId="2207"/>
    <cellStyle name="Normal 2 3 3" xfId="2208"/>
    <cellStyle name="Normal 2 3 3 2" xfId="2209"/>
    <cellStyle name="Normal 2 3 3 3" xfId="2210"/>
    <cellStyle name="Normal 2 3 4" xfId="2211"/>
    <cellStyle name="Normal 2 3 4 2" xfId="2212"/>
    <cellStyle name="Normal 2 3 5" xfId="2213"/>
    <cellStyle name="Normal 2 3 5 2" xfId="2214"/>
    <cellStyle name="Normal 2 3 6" xfId="2215"/>
    <cellStyle name="Normal 2 3 6 2" xfId="2216"/>
    <cellStyle name="Normal 2 3 7" xfId="2217"/>
    <cellStyle name="Normal 2 3 7 2" xfId="2218"/>
    <cellStyle name="Normal 2 3 8" xfId="2219"/>
    <cellStyle name="Normal 2 3 9" xfId="2220"/>
    <cellStyle name="Normal 2 3 9 2" xfId="2221"/>
    <cellStyle name="Normal 2 4" xfId="2222"/>
    <cellStyle name="Normal 2 4 2" xfId="2223"/>
    <cellStyle name="Normal 2 4 2 2" xfId="2224"/>
    <cellStyle name="Normal 2 4 2 3" xfId="2225"/>
    <cellStyle name="Normal 2 4 2 3 2" xfId="2226"/>
    <cellStyle name="Normal 2 4 3" xfId="2227"/>
    <cellStyle name="Normal 2 4 3 2" xfId="2228"/>
    <cellStyle name="Normal 2 4 3 3" xfId="2229"/>
    <cellStyle name="Normal 2 4 4" xfId="2230"/>
    <cellStyle name="Normal 2 4 5" xfId="2231"/>
    <cellStyle name="Normal 2 5" xfId="2232"/>
    <cellStyle name="Normal 2 5 2" xfId="2233"/>
    <cellStyle name="Normal 2 5 3" xfId="2234"/>
    <cellStyle name="Normal 2 6" xfId="2235"/>
    <cellStyle name="Normal 2 6 2" xfId="2236"/>
    <cellStyle name="Normal 2 6 2 2" xfId="2237"/>
    <cellStyle name="Normal 2 6 3" xfId="2238"/>
    <cellStyle name="Normal 2 6 4" xfId="2239"/>
    <cellStyle name="Normal 2 7" xfId="2240"/>
    <cellStyle name="Normal 2 7 2" xfId="2241"/>
    <cellStyle name="Normal 2 8" xfId="2242"/>
    <cellStyle name="Normal 2 8 2" xfId="2243"/>
    <cellStyle name="Normal 2 8 2 2" xfId="2244"/>
    <cellStyle name="Normal 2 8 2 3" xfId="2245"/>
    <cellStyle name="Normal 2 8 3" xfId="2246"/>
    <cellStyle name="Normal 2 8 3 2" xfId="2247"/>
    <cellStyle name="Normal 2 9" xfId="2248"/>
    <cellStyle name="Normal 2 9 2" xfId="2249"/>
    <cellStyle name="Normal 20" xfId="2250"/>
    <cellStyle name="Normal 23" xfId="2251"/>
    <cellStyle name="Normal 24" xfId="2252"/>
    <cellStyle name="Normal 25" xfId="2253"/>
    <cellStyle name="Normal 3" xfId="2254"/>
    <cellStyle name="Normal 3 2" xfId="2255"/>
    <cellStyle name="Normal 3 2 2" xfId="2256"/>
    <cellStyle name="Normal 3 2 2 2" xfId="2257"/>
    <cellStyle name="Normal 3 2 2 3" xfId="2258"/>
    <cellStyle name="Normal 3 3" xfId="2259"/>
    <cellStyle name="Normal 3 3 2" xfId="2260"/>
    <cellStyle name="Normal 3 3 3" xfId="2261"/>
    <cellStyle name="Normal 3 4" xfId="2262"/>
    <cellStyle name="Normal 3 5" xfId="2263"/>
    <cellStyle name="Normal 3 6" xfId="2264"/>
    <cellStyle name="Normal 3 7" xfId="2265"/>
    <cellStyle name="Normal 3 8" xfId="2266"/>
    <cellStyle name="Normal 4" xfId="2267"/>
    <cellStyle name="Normal 4 2" xfId="2268"/>
    <cellStyle name="Normal 4 2 2" xfId="2269"/>
    <cellStyle name="Normal 4 2 2 2" xfId="2270"/>
    <cellStyle name="Normal 4 2 3" xfId="2271"/>
    <cellStyle name="Normal 4 2 4" xfId="2272"/>
    <cellStyle name="Normal 4 3" xfId="2273"/>
    <cellStyle name="Normal 4 3 2" xfId="2274"/>
    <cellStyle name="Normal 4 3 3" xfId="2275"/>
    <cellStyle name="Normal 4 4" xfId="2276"/>
    <cellStyle name="Normal 4 4 2" xfId="2277"/>
    <cellStyle name="Normal 4 4 3" xfId="2278"/>
    <cellStyle name="Normal 4 5" xfId="2279"/>
    <cellStyle name="Normal 4 5 2" xfId="2280"/>
    <cellStyle name="Normal 4 6" xfId="2281"/>
    <cellStyle name="Normal 5" xfId="2282"/>
    <cellStyle name="Normal 5 2" xfId="2283"/>
    <cellStyle name="Normal 5 2 2" xfId="2284"/>
    <cellStyle name="Normal 5 2 2 2" xfId="2285"/>
    <cellStyle name="Normal 5 2 3" xfId="2286"/>
    <cellStyle name="Normal 5 2 4" xfId="2287"/>
    <cellStyle name="Normal 5 2 5" xfId="2288"/>
    <cellStyle name="Normal 5 3" xfId="2289"/>
    <cellStyle name="Normal 5 3 2" xfId="2290"/>
    <cellStyle name="Normal 5 3 3" xfId="2291"/>
    <cellStyle name="Normal 5 4" xfId="2292"/>
    <cellStyle name="Normal 5 5" xfId="2293"/>
    <cellStyle name="Normal 6" xfId="2294"/>
    <cellStyle name="Normal 6 2" xfId="2295"/>
    <cellStyle name="Normal 6 2 2" xfId="2296"/>
    <cellStyle name="Normal 6 2 2 3" xfId="2297"/>
    <cellStyle name="Normal 6 2 3" xfId="2298"/>
    <cellStyle name="Normal 6 2 3 2" xfId="2299"/>
    <cellStyle name="Normal 6 3" xfId="2300"/>
    <cellStyle name="Normal 6 3 2" xfId="2301"/>
    <cellStyle name="Normal 6 3 3" xfId="2302"/>
    <cellStyle name="Normal 6 4" xfId="2303"/>
    <cellStyle name="Normal 6 4 2" xfId="2304"/>
    <cellStyle name="Normal 6 5" xfId="2305"/>
    <cellStyle name="Normal 6 6" xfId="2306"/>
    <cellStyle name="Normal 7" xfId="2307"/>
    <cellStyle name="Normal 7 2" xfId="2308"/>
    <cellStyle name="Normal 7 2 2" xfId="2309"/>
    <cellStyle name="Normal 7 2 2 2" xfId="2310"/>
    <cellStyle name="Normal 7 2 3" xfId="2311"/>
    <cellStyle name="Normal 7 2 4" xfId="2312"/>
    <cellStyle name="Normal 7 2 5" xfId="2313"/>
    <cellStyle name="Normal 7 2 6" xfId="2314"/>
    <cellStyle name="Normal 7 3" xfId="2315"/>
    <cellStyle name="Normal 7 3 2" xfId="2316"/>
    <cellStyle name="Normal 7 4" xfId="2317"/>
    <cellStyle name="Normal 8" xfId="2318"/>
    <cellStyle name="Normal 8 2" xfId="2319"/>
    <cellStyle name="Normal 8 2 2" xfId="2320"/>
    <cellStyle name="Normal 8 2 3" xfId="2321"/>
    <cellStyle name="Normal 8 2 4" xfId="2322"/>
    <cellStyle name="Normal 8 3" xfId="2323"/>
    <cellStyle name="Normal 8 3 2" xfId="2324"/>
    <cellStyle name="Normal 8 3 2 2" xfId="2325"/>
    <cellStyle name="Normal 8 4" xfId="2326"/>
    <cellStyle name="Normal 8 5" xfId="2327"/>
    <cellStyle name="Normal 9" xfId="2328"/>
    <cellStyle name="Normal 9 2" xfId="2329"/>
    <cellStyle name="Normal 9 2 2" xfId="2330"/>
    <cellStyle name="Normal 9 3" xfId="2331"/>
    <cellStyle name="Normal 9 4" xfId="2332"/>
    <cellStyle name="Normale 2" xfId="2333"/>
    <cellStyle name="Normale 2 2" xfId="2334"/>
    <cellStyle name="Normale 2 2 2" xfId="2335"/>
    <cellStyle name="Normale 2 2 3" xfId="2336"/>
    <cellStyle name="Normale 2 3" xfId="2337"/>
    <cellStyle name="Normale 2 3 2" xfId="2338"/>
    <cellStyle name="Normale 2 4" xfId="2339"/>
    <cellStyle name="Normale 2 5" xfId="2340"/>
    <cellStyle name="Normale 2 6" xfId="2341"/>
    <cellStyle name="Normale 3" xfId="2342"/>
    <cellStyle name="Normale 3 2" xfId="2343"/>
    <cellStyle name="Normale 3 2 2" xfId="2344"/>
    <cellStyle name="Normale 3 2 3" xfId="2345"/>
    <cellStyle name="Normale 3 3" xfId="2346"/>
    <cellStyle name="Normale 3 3 2" xfId="2347"/>
    <cellStyle name="Normale 3 4" xfId="2348"/>
    <cellStyle name="Normale 3 5" xfId="2349"/>
    <cellStyle name="Normale 3 6" xfId="2350"/>
    <cellStyle name="Normale 4" xfId="2351"/>
    <cellStyle name="Normale 4 2" xfId="2352"/>
    <cellStyle name="Normale 4 2 2" xfId="2353"/>
    <cellStyle name="Normale 4 2 3" xfId="2354"/>
    <cellStyle name="Normale 6" xfId="2355"/>
    <cellStyle name="Normale 6 2" xfId="2356"/>
    <cellStyle name="Normale 6 2 2" xfId="2357"/>
    <cellStyle name="Normale 6 2 2 2" xfId="2358"/>
    <cellStyle name="Normale 6 2 2 3" xfId="2359"/>
    <cellStyle name="Normale 6 3" xfId="2360"/>
    <cellStyle name="Normale 6 3 2" xfId="2361"/>
    <cellStyle name="Normale 6 3 3" xfId="2362"/>
    <cellStyle name="Normale_classe A" xfId="2363"/>
    <cellStyle name="Normalno 2" xfId="2364"/>
    <cellStyle name="Normalno 2 2" xfId="2365"/>
    <cellStyle name="Nota" xfId="2366"/>
    <cellStyle name="Nota 10" xfId="2367"/>
    <cellStyle name="Nota 10 2" xfId="2368"/>
    <cellStyle name="Nota 10 3" xfId="2369"/>
    <cellStyle name="Nota 11" xfId="2370"/>
    <cellStyle name="Nota 11 2" xfId="2371"/>
    <cellStyle name="Nota 11 3" xfId="2372"/>
    <cellStyle name="Nota 12" xfId="2373"/>
    <cellStyle name="Nota 12 2" xfId="2374"/>
    <cellStyle name="Nota 12 3" xfId="2375"/>
    <cellStyle name="Nota 13" xfId="2376"/>
    <cellStyle name="Nota 13 2" xfId="2377"/>
    <cellStyle name="Nota 13 3" xfId="2378"/>
    <cellStyle name="Nota 14" xfId="2379"/>
    <cellStyle name="Nota 14 2" xfId="2380"/>
    <cellStyle name="Nota 14 3" xfId="2381"/>
    <cellStyle name="Nota 15" xfId="2382"/>
    <cellStyle name="Nota 15 2" xfId="2383"/>
    <cellStyle name="Nota 15 3" xfId="2384"/>
    <cellStyle name="Nota 16" xfId="2385"/>
    <cellStyle name="Nota 16 2" xfId="2386"/>
    <cellStyle name="Nota 16 3" xfId="2387"/>
    <cellStyle name="Nota 17" xfId="2388"/>
    <cellStyle name="Nota 17 2" xfId="2389"/>
    <cellStyle name="Nota 18" xfId="2390"/>
    <cellStyle name="Nota 19" xfId="2391"/>
    <cellStyle name="Nota 2" xfId="2392"/>
    <cellStyle name="Nota 2 2" xfId="2393"/>
    <cellStyle name="Nota 2 3" xfId="2394"/>
    <cellStyle name="Nota 20" xfId="2395"/>
    <cellStyle name="Nota 3" xfId="2396"/>
    <cellStyle name="Nota 3 2" xfId="2397"/>
    <cellStyle name="Nota 3 3" xfId="2398"/>
    <cellStyle name="Nota 4" xfId="2399"/>
    <cellStyle name="Nota 4 2" xfId="2400"/>
    <cellStyle name="Nota 4 3" xfId="2401"/>
    <cellStyle name="Nota 5" xfId="2402"/>
    <cellStyle name="Nota 5 2" xfId="2403"/>
    <cellStyle name="Nota 5 3" xfId="2404"/>
    <cellStyle name="Nota 6" xfId="2405"/>
    <cellStyle name="Nota 6 2" xfId="2406"/>
    <cellStyle name="Nota 6 3" xfId="2407"/>
    <cellStyle name="Nota 7" xfId="2408"/>
    <cellStyle name="Nota 7 2" xfId="2409"/>
    <cellStyle name="Nota 7 3" xfId="2410"/>
    <cellStyle name="Nota 8" xfId="2411"/>
    <cellStyle name="Nota 8 2" xfId="2412"/>
    <cellStyle name="Nota 8 3" xfId="2413"/>
    <cellStyle name="Nota 9" xfId="2414"/>
    <cellStyle name="Nota 9 2" xfId="2415"/>
    <cellStyle name="Nota 9 3" xfId="2416"/>
    <cellStyle name="Note" xfId="2417"/>
    <cellStyle name="Note 2" xfId="2418"/>
    <cellStyle name="Note 2 10" xfId="2419"/>
    <cellStyle name="Note 2 11" xfId="2420"/>
    <cellStyle name="Note 2 12" xfId="2421"/>
    <cellStyle name="Note 2 13" xfId="2422"/>
    <cellStyle name="Note 2 14" xfId="2423"/>
    <cellStyle name="Note 2 15" xfId="2424"/>
    <cellStyle name="Note 2 16" xfId="2425"/>
    <cellStyle name="Note 2 17" xfId="2426"/>
    <cellStyle name="Note 2 18" xfId="2427"/>
    <cellStyle name="Note 2 19" xfId="2428"/>
    <cellStyle name="Note 2 2" xfId="2429"/>
    <cellStyle name="Note 2 3" xfId="2430"/>
    <cellStyle name="Note 2 4" xfId="2431"/>
    <cellStyle name="Note 2 5" xfId="2432"/>
    <cellStyle name="Note 2 6" xfId="2433"/>
    <cellStyle name="Note 2 7" xfId="2434"/>
    <cellStyle name="Note 2 8" xfId="2435"/>
    <cellStyle name="Note 2 9" xfId="2436"/>
    <cellStyle name="Note 3 10" xfId="2437"/>
    <cellStyle name="Note 3 11" xfId="2438"/>
    <cellStyle name="Note 3 12" xfId="2439"/>
    <cellStyle name="Note 3 13" xfId="2440"/>
    <cellStyle name="Note 3 14" xfId="2441"/>
    <cellStyle name="Note 3 15" xfId="2442"/>
    <cellStyle name="Note 3 16" xfId="2443"/>
    <cellStyle name="Note 3 17" xfId="2444"/>
    <cellStyle name="Note 3 2" xfId="2445"/>
    <cellStyle name="Note 3 3" xfId="2446"/>
    <cellStyle name="Note 3 4" xfId="2447"/>
    <cellStyle name="Note 3 5" xfId="2448"/>
    <cellStyle name="Note 3 6" xfId="2449"/>
    <cellStyle name="Note 3 7" xfId="2450"/>
    <cellStyle name="Note 3 8" xfId="2451"/>
    <cellStyle name="Note 3 9" xfId="2452"/>
    <cellStyle name="Output" xfId="2453"/>
    <cellStyle name="Output 2" xfId="2454"/>
    <cellStyle name="Output 2 10" xfId="2455"/>
    <cellStyle name="Output 2 11" xfId="2456"/>
    <cellStyle name="Output 2 12" xfId="2457"/>
    <cellStyle name="Output 2 13" xfId="2458"/>
    <cellStyle name="Output 2 14" xfId="2459"/>
    <cellStyle name="Output 2 15" xfId="2460"/>
    <cellStyle name="Output 2 16" xfId="2461"/>
    <cellStyle name="Output 2 17" xfId="2462"/>
    <cellStyle name="Output 2 18" xfId="2463"/>
    <cellStyle name="Output 2 19" xfId="2464"/>
    <cellStyle name="Output 2 2" xfId="2465"/>
    <cellStyle name="Output 2 20" xfId="2466"/>
    <cellStyle name="Output 2 3" xfId="2467"/>
    <cellStyle name="Output 2 4" xfId="2468"/>
    <cellStyle name="Output 2 5" xfId="2469"/>
    <cellStyle name="Output 2 6" xfId="2470"/>
    <cellStyle name="Output 2 7" xfId="2471"/>
    <cellStyle name="Output 2 8" xfId="2472"/>
    <cellStyle name="Output 2 9" xfId="2473"/>
    <cellStyle name="Output 3" xfId="2474"/>
    <cellStyle name="Output 3 10" xfId="2475"/>
    <cellStyle name="Output 3 11" xfId="2476"/>
    <cellStyle name="Output 3 12" xfId="2477"/>
    <cellStyle name="Output 3 13" xfId="2478"/>
    <cellStyle name="Output 3 14" xfId="2479"/>
    <cellStyle name="Output 3 15" xfId="2480"/>
    <cellStyle name="Output 3 16" xfId="2481"/>
    <cellStyle name="Output 3 17" xfId="2482"/>
    <cellStyle name="Output 3 2" xfId="2483"/>
    <cellStyle name="Output 3 3" xfId="2484"/>
    <cellStyle name="Output 3 4" xfId="2485"/>
    <cellStyle name="Output 3 5" xfId="2486"/>
    <cellStyle name="Output 3 6" xfId="2487"/>
    <cellStyle name="Output 3 7" xfId="2488"/>
    <cellStyle name="Output 3 8" xfId="2489"/>
    <cellStyle name="Output 3 9" xfId="2490"/>
    <cellStyle name="Output 4" xfId="2491"/>
    <cellStyle name="Percent" xfId="2492"/>
    <cellStyle name="Percent 2" xfId="2493"/>
    <cellStyle name="Percent 2 10" xfId="2494"/>
    <cellStyle name="Percent 2 11" xfId="2495"/>
    <cellStyle name="Percent 2 12" xfId="2496"/>
    <cellStyle name="Percent 2 12 2" xfId="2497"/>
    <cellStyle name="Percent 2 12 3" xfId="2498"/>
    <cellStyle name="Percent 2 13" xfId="2499"/>
    <cellStyle name="Percent 2 13 2" xfId="2500"/>
    <cellStyle name="Percent 2 13 3" xfId="2501"/>
    <cellStyle name="Percent 2 14" xfId="2502"/>
    <cellStyle name="Percent 2 2" xfId="2503"/>
    <cellStyle name="Percent 2 2 2" xfId="2504"/>
    <cellStyle name="Percent 2 2 2 2" xfId="2505"/>
    <cellStyle name="Percent 2 2 2 2 2" xfId="2506"/>
    <cellStyle name="Percent 2 2 3" xfId="2507"/>
    <cellStyle name="Percent 2 2 4" xfId="2508"/>
    <cellStyle name="Percent 2 3" xfId="2509"/>
    <cellStyle name="Percent 2 3 2" xfId="2510"/>
    <cellStyle name="Percent 2 4" xfId="2511"/>
    <cellStyle name="Percent 2 5" xfId="2512"/>
    <cellStyle name="Percent 2 6" xfId="2513"/>
    <cellStyle name="Percent 2 7" xfId="2514"/>
    <cellStyle name="Percent 2 8" xfId="2515"/>
    <cellStyle name="Percent 2 9" xfId="2516"/>
    <cellStyle name="Percent 3" xfId="2517"/>
    <cellStyle name="Percent 3 2" xfId="2518"/>
    <cellStyle name="Percent 3 2 2" xfId="2519"/>
    <cellStyle name="Percent 4" xfId="2520"/>
    <cellStyle name="Percent 4 2" xfId="2521"/>
    <cellStyle name="Percent 4 2 2" xfId="2522"/>
    <cellStyle name="Percent 4 3" xfId="2523"/>
    <cellStyle name="Percent 4 4" xfId="2524"/>
    <cellStyle name="Percent 4 4 2" xfId="2525"/>
    <cellStyle name="Percent 4 5" xfId="2526"/>
    <cellStyle name="Percent 5" xfId="2527"/>
    <cellStyle name="Percent 5 2" xfId="2528"/>
    <cellStyle name="Percent 5 3" xfId="2529"/>
    <cellStyle name="Percent 6" xfId="2530"/>
    <cellStyle name="Percent 7" xfId="2531"/>
    <cellStyle name="Percent 7 2" xfId="2532"/>
    <cellStyle name="Percent 8" xfId="2533"/>
    <cellStyle name="Percent 8 2" xfId="2534"/>
    <cellStyle name="Percent 8 3" xfId="2535"/>
    <cellStyle name="Testo avviso" xfId="2536"/>
    <cellStyle name="Testo avviso 2" xfId="2537"/>
    <cellStyle name="Testo avviso 2 2" xfId="2538"/>
    <cellStyle name="Testo avviso 3" xfId="2539"/>
    <cellStyle name="Testo avviso 4" xfId="2540"/>
    <cellStyle name="Testo descrittivo" xfId="2541"/>
    <cellStyle name="Testo descrittivo 2" xfId="2542"/>
    <cellStyle name="Testo descrittivo 2 2" xfId="2543"/>
    <cellStyle name="Testo descrittivo 3" xfId="2544"/>
    <cellStyle name="Testo descrittivo 4" xfId="2545"/>
    <cellStyle name="Title" xfId="2546"/>
    <cellStyle name="Title 2" xfId="2547"/>
    <cellStyle name="Title 2 10" xfId="2548"/>
    <cellStyle name="Title 2 11" xfId="2549"/>
    <cellStyle name="Title 2 12" xfId="2550"/>
    <cellStyle name="Title 2 13" xfId="2551"/>
    <cellStyle name="Title 2 14" xfId="2552"/>
    <cellStyle name="Title 2 15" xfId="2553"/>
    <cellStyle name="Title 2 16" xfId="2554"/>
    <cellStyle name="Title 2 17" xfId="2555"/>
    <cellStyle name="Title 2 18" xfId="2556"/>
    <cellStyle name="Title 2 2" xfId="2557"/>
    <cellStyle name="Title 2 3" xfId="2558"/>
    <cellStyle name="Title 2 4" xfId="2559"/>
    <cellStyle name="Title 2 5" xfId="2560"/>
    <cellStyle name="Title 2 6" xfId="2561"/>
    <cellStyle name="Title 2 7" xfId="2562"/>
    <cellStyle name="Title 2 8" xfId="2563"/>
    <cellStyle name="Title 2 9" xfId="2564"/>
    <cellStyle name="Title 3 10" xfId="2565"/>
    <cellStyle name="Title 3 11" xfId="2566"/>
    <cellStyle name="Title 3 12" xfId="2567"/>
    <cellStyle name="Title 3 13" xfId="2568"/>
    <cellStyle name="Title 3 14" xfId="2569"/>
    <cellStyle name="Title 3 15" xfId="2570"/>
    <cellStyle name="Title 3 16" xfId="2571"/>
    <cellStyle name="Title 3 17" xfId="2572"/>
    <cellStyle name="Title 3 2" xfId="2573"/>
    <cellStyle name="Title 3 3" xfId="2574"/>
    <cellStyle name="Title 3 4" xfId="2575"/>
    <cellStyle name="Title 3 5" xfId="2576"/>
    <cellStyle name="Title 3 6" xfId="2577"/>
    <cellStyle name="Title 3 7" xfId="2578"/>
    <cellStyle name="Title 3 8" xfId="2579"/>
    <cellStyle name="Title 3 9" xfId="2580"/>
    <cellStyle name="Titolo" xfId="2581"/>
    <cellStyle name="Titolo 1" xfId="2582"/>
    <cellStyle name="Titolo 1 2" xfId="2583"/>
    <cellStyle name="Titolo 1 2 2" xfId="2584"/>
    <cellStyle name="Titolo 1 3" xfId="2585"/>
    <cellStyle name="Titolo 1 4" xfId="2586"/>
    <cellStyle name="Titolo 2" xfId="2587"/>
    <cellStyle name="Titolo 2 2" xfId="2588"/>
    <cellStyle name="Titolo 2 2 2" xfId="2589"/>
    <cellStyle name="Titolo 2 3" xfId="2590"/>
    <cellStyle name="Titolo 2 4" xfId="2591"/>
    <cellStyle name="Titolo 3" xfId="2592"/>
    <cellStyle name="Titolo 3 2" xfId="2593"/>
    <cellStyle name="Titolo 3 2 2" xfId="2594"/>
    <cellStyle name="Titolo 3 3" xfId="2595"/>
    <cellStyle name="Titolo 3 4" xfId="2596"/>
    <cellStyle name="Titolo 4" xfId="2597"/>
    <cellStyle name="Titolo 4 2" xfId="2598"/>
    <cellStyle name="Titolo 4 2 2" xfId="2599"/>
    <cellStyle name="Titolo 4 3" xfId="2600"/>
    <cellStyle name="Titolo 4 4" xfId="2601"/>
    <cellStyle name="Titolo 5" xfId="2602"/>
    <cellStyle name="Titolo 5 2" xfId="2603"/>
    <cellStyle name="Titolo 6" xfId="2604"/>
    <cellStyle name="Titolo 7" xfId="2605"/>
    <cellStyle name="Total" xfId="2606"/>
    <cellStyle name="Total 2" xfId="2607"/>
    <cellStyle name="Total 2 10" xfId="2608"/>
    <cellStyle name="Total 2 11" xfId="2609"/>
    <cellStyle name="Total 2 12" xfId="2610"/>
    <cellStyle name="Total 2 13" xfId="2611"/>
    <cellStyle name="Total 2 14" xfId="2612"/>
    <cellStyle name="Total 2 15" xfId="2613"/>
    <cellStyle name="Total 2 16" xfId="2614"/>
    <cellStyle name="Total 2 17" xfId="2615"/>
    <cellStyle name="Total 2 2" xfId="2616"/>
    <cellStyle name="Total 2 3" xfId="2617"/>
    <cellStyle name="Total 2 4" xfId="2618"/>
    <cellStyle name="Total 2 5" xfId="2619"/>
    <cellStyle name="Total 2 6" xfId="2620"/>
    <cellStyle name="Total 2 7" xfId="2621"/>
    <cellStyle name="Total 2 8" xfId="2622"/>
    <cellStyle name="Total 2 9" xfId="2623"/>
    <cellStyle name="Total 3 10" xfId="2624"/>
    <cellStyle name="Total 3 11" xfId="2625"/>
    <cellStyle name="Total 3 12" xfId="2626"/>
    <cellStyle name="Total 3 13" xfId="2627"/>
    <cellStyle name="Total 3 14" xfId="2628"/>
    <cellStyle name="Total 3 15" xfId="2629"/>
    <cellStyle name="Total 3 16" xfId="2630"/>
    <cellStyle name="Total 3 17" xfId="2631"/>
    <cellStyle name="Total 3 2" xfId="2632"/>
    <cellStyle name="Total 3 3" xfId="2633"/>
    <cellStyle name="Total 3 4" xfId="2634"/>
    <cellStyle name="Total 3 5" xfId="2635"/>
    <cellStyle name="Total 3 6" xfId="2636"/>
    <cellStyle name="Total 3 7" xfId="2637"/>
    <cellStyle name="Total 3 8" xfId="2638"/>
    <cellStyle name="Total 3 9" xfId="2639"/>
    <cellStyle name="Totale" xfId="2640"/>
    <cellStyle name="Totale 2" xfId="2641"/>
    <cellStyle name="Totale 2 2" xfId="2642"/>
    <cellStyle name="Totale 3" xfId="2643"/>
    <cellStyle name="Totale 4" xfId="2644"/>
    <cellStyle name="Valore non valido" xfId="2645"/>
    <cellStyle name="Valore non valido 2" xfId="2646"/>
    <cellStyle name="Valore non valido 2 2" xfId="2647"/>
    <cellStyle name="Valore non valido 3" xfId="2648"/>
    <cellStyle name="Valore non valido 4" xfId="2649"/>
    <cellStyle name="Valore valido" xfId="2650"/>
    <cellStyle name="Valore valido 2" xfId="2651"/>
    <cellStyle name="Valore valido 2 2" xfId="2652"/>
    <cellStyle name="Valore valido 3" xfId="2653"/>
    <cellStyle name="Valore valido 4" xfId="2654"/>
    <cellStyle name="Warning Text" xfId="2655"/>
    <cellStyle name="Warning Text 2" xfId="2656"/>
    <cellStyle name="Warning Text 2 10" xfId="2657"/>
    <cellStyle name="Warning Text 2 11" xfId="2658"/>
    <cellStyle name="Warning Text 2 12" xfId="2659"/>
    <cellStyle name="Warning Text 2 13" xfId="2660"/>
    <cellStyle name="Warning Text 2 14" xfId="2661"/>
    <cellStyle name="Warning Text 2 15" xfId="2662"/>
    <cellStyle name="Warning Text 2 16" xfId="2663"/>
    <cellStyle name="Warning Text 2 17" xfId="2664"/>
    <cellStyle name="Warning Text 2 2" xfId="2665"/>
    <cellStyle name="Warning Text 2 3" xfId="2666"/>
    <cellStyle name="Warning Text 2 4" xfId="2667"/>
    <cellStyle name="Warning Text 2 5" xfId="2668"/>
    <cellStyle name="Warning Text 2 6" xfId="2669"/>
    <cellStyle name="Warning Text 2 7" xfId="2670"/>
    <cellStyle name="Warning Text 2 8" xfId="2671"/>
    <cellStyle name="Warning Text 2 9" xfId="2672"/>
    <cellStyle name="Warning Text 3 10" xfId="2673"/>
    <cellStyle name="Warning Text 3 11" xfId="2674"/>
    <cellStyle name="Warning Text 3 12" xfId="2675"/>
    <cellStyle name="Warning Text 3 13" xfId="2676"/>
    <cellStyle name="Warning Text 3 14" xfId="2677"/>
    <cellStyle name="Warning Text 3 15" xfId="2678"/>
    <cellStyle name="Warning Text 3 16" xfId="2679"/>
    <cellStyle name="Warning Text 3 17" xfId="2680"/>
    <cellStyle name="Warning Text 3 2" xfId="2681"/>
    <cellStyle name="Warning Text 3 3" xfId="2682"/>
    <cellStyle name="Warning Text 3 4" xfId="2683"/>
    <cellStyle name="Warning Text 3 5" xfId="2684"/>
    <cellStyle name="Warning Text 3 6" xfId="2685"/>
    <cellStyle name="Warning Text 3 7" xfId="2686"/>
    <cellStyle name="Warning Text 3 8" xfId="2687"/>
    <cellStyle name="Warning Text 3 9" xfId="26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Q207"/>
  <sheetViews>
    <sheetView tabSelected="1" view="pageBreakPreview" zoomScaleSheetLayoutView="100" workbookViewId="0" topLeftCell="A1">
      <pane ySplit="1" topLeftCell="A176" activePane="bottomLeft" state="frozen"/>
      <selection pane="topLeft" activeCell="A1" sqref="A1"/>
      <selection pane="bottomLeft" activeCell="L176" sqref="L176"/>
    </sheetView>
  </sheetViews>
  <sheetFormatPr defaultColWidth="9.140625" defaultRowHeight="12.75"/>
  <cols>
    <col min="1" max="1" width="8.7109375" style="23" bestFit="1" customWidth="1"/>
    <col min="2" max="2" width="8.8515625" style="24" bestFit="1" customWidth="1"/>
    <col min="3" max="3" width="12.421875" style="24" customWidth="1"/>
    <col min="4" max="4" width="13.7109375" style="24" customWidth="1"/>
    <col min="5" max="5" width="15.8515625" style="25" customWidth="1"/>
    <col min="6" max="6" width="14.8515625" style="25" customWidth="1"/>
    <col min="7" max="7" width="13.140625" style="25" customWidth="1"/>
    <col min="8" max="8" width="11.7109375" style="25" customWidth="1"/>
    <col min="9" max="9" width="11.28125" style="68" customWidth="1"/>
    <col min="10" max="10" width="7.57421875" style="25" customWidth="1"/>
    <col min="11" max="11" width="8.7109375" style="26" customWidth="1"/>
    <col min="12" max="12" width="10.8515625" style="25" customWidth="1"/>
    <col min="13" max="13" width="53.7109375" style="37" customWidth="1"/>
    <col min="14" max="14" width="47.8515625" style="37" customWidth="1"/>
    <col min="15" max="16384" width="9.140625" style="27" customWidth="1"/>
  </cols>
  <sheetData>
    <row r="1" spans="1:14" s="22" customFormat="1" ht="48">
      <c r="A1" s="6" t="s">
        <v>0</v>
      </c>
      <c r="B1" s="6" t="s">
        <v>1</v>
      </c>
      <c r="C1" s="6" t="s">
        <v>2</v>
      </c>
      <c r="D1" s="6" t="s">
        <v>3</v>
      </c>
      <c r="E1" s="6" t="s">
        <v>4</v>
      </c>
      <c r="F1" s="6" t="s">
        <v>5</v>
      </c>
      <c r="G1" s="6" t="s">
        <v>6</v>
      </c>
      <c r="H1" s="6" t="s">
        <v>7</v>
      </c>
      <c r="I1" s="69" t="s">
        <v>532</v>
      </c>
      <c r="J1" s="7" t="s">
        <v>8</v>
      </c>
      <c r="K1" s="7" t="s">
        <v>9</v>
      </c>
      <c r="L1" s="36" t="s">
        <v>10</v>
      </c>
      <c r="M1" s="29" t="s">
        <v>420</v>
      </c>
      <c r="N1" s="29" t="s">
        <v>421</v>
      </c>
    </row>
    <row r="2" spans="1:14" s="22" customFormat="1" ht="112.5">
      <c r="A2" s="4" t="s">
        <v>340</v>
      </c>
      <c r="B2" s="5" t="s">
        <v>279</v>
      </c>
      <c r="C2" s="5" t="s">
        <v>280</v>
      </c>
      <c r="D2" s="5" t="s">
        <v>281</v>
      </c>
      <c r="E2" s="1" t="s">
        <v>111</v>
      </c>
      <c r="F2" s="1" t="s">
        <v>382</v>
      </c>
      <c r="G2" s="1" t="s">
        <v>951</v>
      </c>
      <c r="H2" s="1" t="s">
        <v>952</v>
      </c>
      <c r="I2" s="21">
        <v>54722.2</v>
      </c>
      <c r="J2" s="1" t="s">
        <v>282</v>
      </c>
      <c r="K2" s="2">
        <f>I2/1/250*30</f>
        <v>6566.663999999999</v>
      </c>
      <c r="L2" s="38" t="s">
        <v>17</v>
      </c>
      <c r="M2" s="5" t="s">
        <v>790</v>
      </c>
      <c r="N2" s="5" t="s">
        <v>821</v>
      </c>
    </row>
    <row r="3" spans="1:14" s="22" customFormat="1" ht="168.75">
      <c r="A3" s="5">
        <v>1069111</v>
      </c>
      <c r="B3" s="5" t="s">
        <v>283</v>
      </c>
      <c r="C3" s="5" t="s">
        <v>284</v>
      </c>
      <c r="D3" s="5" t="s">
        <v>285</v>
      </c>
      <c r="E3" s="1" t="s">
        <v>53</v>
      </c>
      <c r="F3" s="1" t="s">
        <v>97</v>
      </c>
      <c r="G3" s="1" t="s">
        <v>560</v>
      </c>
      <c r="H3" s="1" t="s">
        <v>561</v>
      </c>
      <c r="I3" s="21">
        <v>95181.6</v>
      </c>
      <c r="J3" s="1" t="s">
        <v>286</v>
      </c>
      <c r="K3" s="2">
        <f>I3/28/25*50</f>
        <v>6798.685714285714</v>
      </c>
      <c r="L3" s="38" t="s">
        <v>17</v>
      </c>
      <c r="M3" s="5" t="s">
        <v>562</v>
      </c>
      <c r="N3" s="5" t="s">
        <v>822</v>
      </c>
    </row>
    <row r="4" spans="1:14" ht="67.5">
      <c r="A4" s="4" t="s">
        <v>192</v>
      </c>
      <c r="B4" s="5" t="s">
        <v>11</v>
      </c>
      <c r="C4" s="5" t="s">
        <v>12</v>
      </c>
      <c r="D4" s="5" t="s">
        <v>13</v>
      </c>
      <c r="E4" s="1" t="s">
        <v>471</v>
      </c>
      <c r="F4" s="1" t="s">
        <v>190</v>
      </c>
      <c r="G4" s="1" t="s">
        <v>472</v>
      </c>
      <c r="H4" s="1" t="s">
        <v>473</v>
      </c>
      <c r="I4" s="21">
        <v>7141.2</v>
      </c>
      <c r="J4" s="1" t="s">
        <v>16</v>
      </c>
      <c r="K4" s="2">
        <f>I4/6/2000*1000</f>
        <v>595.1</v>
      </c>
      <c r="L4" s="38" t="s">
        <v>17</v>
      </c>
      <c r="M4" s="5" t="s">
        <v>422</v>
      </c>
      <c r="N4" s="5"/>
    </row>
    <row r="5" spans="1:14" s="41" customFormat="1" ht="67.5">
      <c r="A5" s="8" t="s">
        <v>193</v>
      </c>
      <c r="B5" s="9" t="s">
        <v>11</v>
      </c>
      <c r="C5" s="10" t="s">
        <v>182</v>
      </c>
      <c r="D5" s="10" t="s">
        <v>183</v>
      </c>
      <c r="E5" s="11" t="s">
        <v>18</v>
      </c>
      <c r="F5" s="11" t="s">
        <v>184</v>
      </c>
      <c r="G5" s="11" t="s">
        <v>185</v>
      </c>
      <c r="H5" s="11" t="s">
        <v>19</v>
      </c>
      <c r="I5" s="21">
        <v>5030.9</v>
      </c>
      <c r="J5" s="1" t="s">
        <v>16</v>
      </c>
      <c r="K5" s="12">
        <f>I5/6/2000*1000</f>
        <v>419.2416666666666</v>
      </c>
      <c r="L5" s="39" t="s">
        <v>17</v>
      </c>
      <c r="M5" s="30" t="s">
        <v>422</v>
      </c>
      <c r="N5" s="31"/>
    </row>
    <row r="6" spans="1:14" s="41" customFormat="1" ht="67.5">
      <c r="A6" s="66" t="s">
        <v>507</v>
      </c>
      <c r="B6" s="61" t="s">
        <v>11</v>
      </c>
      <c r="C6" s="61" t="s">
        <v>182</v>
      </c>
      <c r="D6" s="61" t="s">
        <v>183</v>
      </c>
      <c r="E6" s="67" t="s">
        <v>18</v>
      </c>
      <c r="F6" s="67" t="s">
        <v>508</v>
      </c>
      <c r="G6" s="67" t="s">
        <v>185</v>
      </c>
      <c r="H6" s="67" t="s">
        <v>19</v>
      </c>
      <c r="I6" s="21">
        <v>10061.8</v>
      </c>
      <c r="J6" s="70" t="s">
        <v>16</v>
      </c>
      <c r="K6" s="71">
        <f>I6/6/4000*1000</f>
        <v>419.2416666666666</v>
      </c>
      <c r="L6" s="72" t="s">
        <v>17</v>
      </c>
      <c r="M6" s="73" t="s">
        <v>422</v>
      </c>
      <c r="N6" s="74"/>
    </row>
    <row r="7" spans="1:14" ht="67.5">
      <c r="A7" s="4" t="s">
        <v>194</v>
      </c>
      <c r="B7" s="5" t="s">
        <v>11</v>
      </c>
      <c r="C7" s="5" t="s">
        <v>20</v>
      </c>
      <c r="D7" s="5" t="s">
        <v>21</v>
      </c>
      <c r="E7" s="1" t="s">
        <v>14</v>
      </c>
      <c r="F7" s="1" t="s">
        <v>22</v>
      </c>
      <c r="G7" s="1" t="s">
        <v>23</v>
      </c>
      <c r="H7" s="1" t="s">
        <v>24</v>
      </c>
      <c r="I7" s="21">
        <v>6375.1</v>
      </c>
      <c r="J7" s="1" t="s">
        <v>16</v>
      </c>
      <c r="K7" s="2">
        <f>I7/6/2000*1000</f>
        <v>531.2583333333333</v>
      </c>
      <c r="L7" s="38" t="s">
        <v>17</v>
      </c>
      <c r="M7" s="5" t="s">
        <v>423</v>
      </c>
      <c r="N7" s="5"/>
    </row>
    <row r="8" spans="1:14" ht="67.5">
      <c r="A8" s="4" t="s">
        <v>195</v>
      </c>
      <c r="B8" s="5" t="s">
        <v>11</v>
      </c>
      <c r="C8" s="5" t="s">
        <v>25</v>
      </c>
      <c r="D8" s="5" t="s">
        <v>26</v>
      </c>
      <c r="E8" s="1" t="s">
        <v>27</v>
      </c>
      <c r="F8" s="1" t="s">
        <v>30</v>
      </c>
      <c r="G8" s="1" t="s">
        <v>28</v>
      </c>
      <c r="H8" s="1" t="s">
        <v>29</v>
      </c>
      <c r="I8" s="21">
        <v>3593.6</v>
      </c>
      <c r="J8" s="1" t="s">
        <v>16</v>
      </c>
      <c r="K8" s="2">
        <f>I8/6/1000*1000</f>
        <v>598.9333333333333</v>
      </c>
      <c r="L8" s="38" t="s">
        <v>17</v>
      </c>
      <c r="M8" s="5" t="s">
        <v>422</v>
      </c>
      <c r="N8" s="5"/>
    </row>
    <row r="9" spans="1:14" ht="67.5">
      <c r="A9" s="4" t="s">
        <v>196</v>
      </c>
      <c r="B9" s="5" t="s">
        <v>11</v>
      </c>
      <c r="C9" s="5" t="s">
        <v>25</v>
      </c>
      <c r="D9" s="5" t="s">
        <v>26</v>
      </c>
      <c r="E9" s="1" t="s">
        <v>27</v>
      </c>
      <c r="F9" s="1" t="s">
        <v>31</v>
      </c>
      <c r="G9" s="1" t="s">
        <v>28</v>
      </c>
      <c r="H9" s="1" t="s">
        <v>29</v>
      </c>
      <c r="I9" s="21">
        <v>7044.5</v>
      </c>
      <c r="J9" s="1" t="s">
        <v>16</v>
      </c>
      <c r="K9" s="2">
        <f>I9/6/2000*1000</f>
        <v>587.0416666666666</v>
      </c>
      <c r="L9" s="38" t="s">
        <v>17</v>
      </c>
      <c r="M9" s="5" t="s">
        <v>422</v>
      </c>
      <c r="N9" s="5"/>
    </row>
    <row r="10" spans="1:14" ht="67.5">
      <c r="A10" s="4" t="s">
        <v>197</v>
      </c>
      <c r="B10" s="5" t="s">
        <v>11</v>
      </c>
      <c r="C10" s="5" t="s">
        <v>25</v>
      </c>
      <c r="D10" s="5" t="s">
        <v>26</v>
      </c>
      <c r="E10" s="1" t="s">
        <v>27</v>
      </c>
      <c r="F10" s="1" t="s">
        <v>32</v>
      </c>
      <c r="G10" s="1" t="s">
        <v>28</v>
      </c>
      <c r="H10" s="1" t="s">
        <v>29</v>
      </c>
      <c r="I10" s="21">
        <v>13964.2</v>
      </c>
      <c r="J10" s="1" t="s">
        <v>16</v>
      </c>
      <c r="K10" s="2">
        <f>I10/6/4000*1000</f>
        <v>581.8416666666667</v>
      </c>
      <c r="L10" s="38" t="s">
        <v>17</v>
      </c>
      <c r="M10" s="5" t="s">
        <v>422</v>
      </c>
      <c r="N10" s="5"/>
    </row>
    <row r="11" spans="1:14" ht="67.5">
      <c r="A11" s="4" t="s">
        <v>198</v>
      </c>
      <c r="B11" s="5" t="s">
        <v>11</v>
      </c>
      <c r="C11" s="5" t="s">
        <v>25</v>
      </c>
      <c r="D11" s="5" t="s">
        <v>26</v>
      </c>
      <c r="E11" s="1" t="s">
        <v>27</v>
      </c>
      <c r="F11" s="1" t="s">
        <v>33</v>
      </c>
      <c r="G11" s="1" t="s">
        <v>28</v>
      </c>
      <c r="H11" s="1" t="s">
        <v>29</v>
      </c>
      <c r="I11" s="21">
        <v>5199.2</v>
      </c>
      <c r="J11" s="1" t="s">
        <v>16</v>
      </c>
      <c r="K11" s="2">
        <f>I11/1/10000*1000</f>
        <v>519.92</v>
      </c>
      <c r="L11" s="38" t="s">
        <v>17</v>
      </c>
      <c r="M11" s="5" t="s">
        <v>422</v>
      </c>
      <c r="N11" s="5"/>
    </row>
    <row r="12" spans="1:14" ht="67.5">
      <c r="A12" s="4" t="s">
        <v>199</v>
      </c>
      <c r="B12" s="5" t="s">
        <v>11</v>
      </c>
      <c r="C12" s="5" t="s">
        <v>25</v>
      </c>
      <c r="D12" s="5" t="s">
        <v>26</v>
      </c>
      <c r="E12" s="1" t="s">
        <v>27</v>
      </c>
      <c r="F12" s="1" t="s">
        <v>34</v>
      </c>
      <c r="G12" s="1" t="s">
        <v>28</v>
      </c>
      <c r="H12" s="1" t="s">
        <v>29</v>
      </c>
      <c r="I12" s="21">
        <v>11978.2</v>
      </c>
      <c r="J12" s="1" t="s">
        <v>16</v>
      </c>
      <c r="K12" s="2">
        <f>I12/1/20000*1000</f>
        <v>598.9100000000001</v>
      </c>
      <c r="L12" s="38" t="s">
        <v>17</v>
      </c>
      <c r="M12" s="5" t="s">
        <v>422</v>
      </c>
      <c r="N12" s="5"/>
    </row>
    <row r="13" spans="1:14" ht="67.5">
      <c r="A13" s="4" t="s">
        <v>200</v>
      </c>
      <c r="B13" s="5" t="s">
        <v>11</v>
      </c>
      <c r="C13" s="5" t="s">
        <v>25</v>
      </c>
      <c r="D13" s="5" t="s">
        <v>26</v>
      </c>
      <c r="E13" s="1" t="s">
        <v>27</v>
      </c>
      <c r="F13" s="1" t="s">
        <v>35</v>
      </c>
      <c r="G13" s="1" t="s">
        <v>28</v>
      </c>
      <c r="H13" s="1" t="s">
        <v>29</v>
      </c>
      <c r="I13" s="21">
        <v>17967.3</v>
      </c>
      <c r="J13" s="1" t="s">
        <v>16</v>
      </c>
      <c r="K13" s="2">
        <f>I13/1/30000*1000</f>
        <v>598.91</v>
      </c>
      <c r="L13" s="38" t="s">
        <v>17</v>
      </c>
      <c r="M13" s="5" t="s">
        <v>422</v>
      </c>
      <c r="N13" s="5"/>
    </row>
    <row r="14" spans="1:14" ht="157.5">
      <c r="A14" s="4" t="s">
        <v>201</v>
      </c>
      <c r="B14" s="5" t="s">
        <v>36</v>
      </c>
      <c r="C14" s="5" t="s">
        <v>37</v>
      </c>
      <c r="D14" s="5" t="s">
        <v>38</v>
      </c>
      <c r="E14" s="1" t="s">
        <v>18</v>
      </c>
      <c r="F14" s="1" t="s">
        <v>347</v>
      </c>
      <c r="G14" s="1" t="s">
        <v>39</v>
      </c>
      <c r="H14" s="1" t="s">
        <v>40</v>
      </c>
      <c r="I14" s="21">
        <v>1331</v>
      </c>
      <c r="J14" s="1" t="s">
        <v>41</v>
      </c>
      <c r="K14" s="2">
        <f>I14/10*4.5</f>
        <v>598.9499999999999</v>
      </c>
      <c r="L14" s="38" t="s">
        <v>17</v>
      </c>
      <c r="M14" s="5" t="s">
        <v>424</v>
      </c>
      <c r="N14" s="5"/>
    </row>
    <row r="15" spans="1:14" ht="157.5">
      <c r="A15" s="4" t="s">
        <v>202</v>
      </c>
      <c r="B15" s="5" t="s">
        <v>36</v>
      </c>
      <c r="C15" s="5" t="s">
        <v>37</v>
      </c>
      <c r="D15" s="5" t="s">
        <v>38</v>
      </c>
      <c r="E15" s="1" t="s">
        <v>18</v>
      </c>
      <c r="F15" s="1" t="s">
        <v>348</v>
      </c>
      <c r="G15" s="1" t="s">
        <v>39</v>
      </c>
      <c r="H15" s="1" t="s">
        <v>40</v>
      </c>
      <c r="I15" s="21">
        <v>2653.9</v>
      </c>
      <c r="J15" s="1" t="s">
        <v>41</v>
      </c>
      <c r="K15" s="2">
        <f>I15/20*4.5</f>
        <v>597.1274999999999</v>
      </c>
      <c r="L15" s="38" t="s">
        <v>17</v>
      </c>
      <c r="M15" s="5" t="s">
        <v>424</v>
      </c>
      <c r="N15" s="5"/>
    </row>
    <row r="16" spans="1:14" ht="157.5">
      <c r="A16" s="4" t="s">
        <v>203</v>
      </c>
      <c r="B16" s="5" t="s">
        <v>36</v>
      </c>
      <c r="C16" s="5" t="s">
        <v>37</v>
      </c>
      <c r="D16" s="5" t="s">
        <v>38</v>
      </c>
      <c r="E16" s="1" t="s">
        <v>18</v>
      </c>
      <c r="F16" s="1" t="s">
        <v>349</v>
      </c>
      <c r="G16" s="1" t="s">
        <v>39</v>
      </c>
      <c r="H16" s="1" t="s">
        <v>40</v>
      </c>
      <c r="I16" s="21">
        <v>3954.3</v>
      </c>
      <c r="J16" s="1" t="s">
        <v>41</v>
      </c>
      <c r="K16" s="2">
        <f>I16/30*4.5</f>
        <v>593.145</v>
      </c>
      <c r="L16" s="38" t="s">
        <v>17</v>
      </c>
      <c r="M16" s="5" t="s">
        <v>424</v>
      </c>
      <c r="N16" s="5"/>
    </row>
    <row r="17" spans="1:14" ht="157.5">
      <c r="A17" s="4" t="s">
        <v>204</v>
      </c>
      <c r="B17" s="5" t="s">
        <v>36</v>
      </c>
      <c r="C17" s="5" t="s">
        <v>37</v>
      </c>
      <c r="D17" s="5" t="s">
        <v>38</v>
      </c>
      <c r="E17" s="1" t="s">
        <v>18</v>
      </c>
      <c r="F17" s="1" t="s">
        <v>350</v>
      </c>
      <c r="G17" s="1" t="s">
        <v>39</v>
      </c>
      <c r="H17" s="1" t="s">
        <v>40</v>
      </c>
      <c r="I17" s="21">
        <v>7848.7</v>
      </c>
      <c r="J17" s="1" t="s">
        <v>41</v>
      </c>
      <c r="K17" s="2">
        <f>I17/60*4.5</f>
        <v>588.6525</v>
      </c>
      <c r="L17" s="38" t="s">
        <v>17</v>
      </c>
      <c r="M17" s="5" t="s">
        <v>424</v>
      </c>
      <c r="N17" s="5"/>
    </row>
    <row r="18" spans="1:14" ht="90">
      <c r="A18" s="4" t="s">
        <v>205</v>
      </c>
      <c r="B18" s="5" t="s">
        <v>43</v>
      </c>
      <c r="C18" s="5" t="s">
        <v>44</v>
      </c>
      <c r="D18" s="5" t="s">
        <v>45</v>
      </c>
      <c r="E18" s="1" t="s">
        <v>27</v>
      </c>
      <c r="F18" s="1" t="s">
        <v>46</v>
      </c>
      <c r="G18" s="1" t="s">
        <v>23</v>
      </c>
      <c r="H18" s="1" t="s">
        <v>24</v>
      </c>
      <c r="I18" s="21">
        <v>7918.1</v>
      </c>
      <c r="J18" s="1" t="s">
        <v>47</v>
      </c>
      <c r="K18" s="2">
        <f>I18/50*4</f>
        <v>633.448</v>
      </c>
      <c r="L18" s="38" t="s">
        <v>17</v>
      </c>
      <c r="M18" s="5" t="s">
        <v>425</v>
      </c>
      <c r="N18" s="5"/>
    </row>
    <row r="19" spans="1:14" ht="90">
      <c r="A19" s="4" t="s">
        <v>206</v>
      </c>
      <c r="B19" s="5" t="s">
        <v>43</v>
      </c>
      <c r="C19" s="5" t="s">
        <v>44</v>
      </c>
      <c r="D19" s="5" t="s">
        <v>45</v>
      </c>
      <c r="E19" s="1" t="s">
        <v>27</v>
      </c>
      <c r="F19" s="1" t="s">
        <v>48</v>
      </c>
      <c r="G19" s="1" t="s">
        <v>23</v>
      </c>
      <c r="H19" s="1" t="s">
        <v>24</v>
      </c>
      <c r="I19" s="21">
        <v>11846.5</v>
      </c>
      <c r="J19" s="1" t="s">
        <v>47</v>
      </c>
      <c r="K19" s="2">
        <f>I19/75*4</f>
        <v>631.8133333333334</v>
      </c>
      <c r="L19" s="38" t="s">
        <v>17</v>
      </c>
      <c r="M19" s="5" t="s">
        <v>425</v>
      </c>
      <c r="N19" s="5"/>
    </row>
    <row r="20" spans="1:14" ht="90">
      <c r="A20" s="4" t="s">
        <v>207</v>
      </c>
      <c r="B20" s="5" t="s">
        <v>43</v>
      </c>
      <c r="C20" s="5" t="s">
        <v>44</v>
      </c>
      <c r="D20" s="5" t="s">
        <v>45</v>
      </c>
      <c r="E20" s="1" t="s">
        <v>27</v>
      </c>
      <c r="F20" s="1" t="s">
        <v>49</v>
      </c>
      <c r="G20" s="1" t="s">
        <v>23</v>
      </c>
      <c r="H20" s="1" t="s">
        <v>24</v>
      </c>
      <c r="I20" s="21">
        <v>23633.1</v>
      </c>
      <c r="J20" s="1" t="s">
        <v>47</v>
      </c>
      <c r="K20" s="2">
        <f>I20/150*4</f>
        <v>630.216</v>
      </c>
      <c r="L20" s="38" t="s">
        <v>17</v>
      </c>
      <c r="M20" s="5" t="s">
        <v>425</v>
      </c>
      <c r="N20" s="5"/>
    </row>
    <row r="21" spans="1:14" ht="90">
      <c r="A21" s="4" t="s">
        <v>208</v>
      </c>
      <c r="B21" s="5" t="s">
        <v>43</v>
      </c>
      <c r="C21" s="5" t="s">
        <v>44</v>
      </c>
      <c r="D21" s="5" t="s">
        <v>45</v>
      </c>
      <c r="E21" s="1" t="s">
        <v>18</v>
      </c>
      <c r="F21" s="1" t="s">
        <v>51</v>
      </c>
      <c r="G21" s="1" t="s">
        <v>23</v>
      </c>
      <c r="H21" s="1" t="s">
        <v>24</v>
      </c>
      <c r="I21" s="21">
        <v>4772.7</v>
      </c>
      <c r="J21" s="1" t="s">
        <v>47</v>
      </c>
      <c r="K21" s="2">
        <f>I21/30*4</f>
        <v>636.36</v>
      </c>
      <c r="L21" s="38" t="s">
        <v>17</v>
      </c>
      <c r="M21" s="5" t="s">
        <v>425</v>
      </c>
      <c r="N21" s="5"/>
    </row>
    <row r="22" spans="1:14" ht="90">
      <c r="A22" s="4" t="s">
        <v>209</v>
      </c>
      <c r="B22" s="5" t="s">
        <v>43</v>
      </c>
      <c r="C22" s="5" t="s">
        <v>44</v>
      </c>
      <c r="D22" s="5" t="s">
        <v>45</v>
      </c>
      <c r="E22" s="1" t="s">
        <v>18</v>
      </c>
      <c r="F22" s="1" t="s">
        <v>52</v>
      </c>
      <c r="G22" s="1" t="s">
        <v>23</v>
      </c>
      <c r="H22" s="1" t="s">
        <v>24</v>
      </c>
      <c r="I22" s="21">
        <v>18918</v>
      </c>
      <c r="J22" s="1" t="s">
        <v>47</v>
      </c>
      <c r="K22" s="2">
        <f>I22/120*4</f>
        <v>630.6</v>
      </c>
      <c r="L22" s="38" t="s">
        <v>17</v>
      </c>
      <c r="M22" s="5" t="s">
        <v>425</v>
      </c>
      <c r="N22" s="5"/>
    </row>
    <row r="23" spans="1:14" s="28" customFormat="1" ht="37.5" customHeight="1">
      <c r="A23" s="51">
        <v>1328444</v>
      </c>
      <c r="B23" s="51" t="s">
        <v>699</v>
      </c>
      <c r="C23" s="55" t="s">
        <v>416</v>
      </c>
      <c r="D23" s="56" t="s">
        <v>417</v>
      </c>
      <c r="E23" s="1" t="s">
        <v>53</v>
      </c>
      <c r="F23" s="1" t="s">
        <v>418</v>
      </c>
      <c r="G23" s="1" t="s">
        <v>419</v>
      </c>
      <c r="H23" s="1" t="s">
        <v>56</v>
      </c>
      <c r="I23" s="21">
        <v>747928.1</v>
      </c>
      <c r="J23" s="1" t="s">
        <v>415</v>
      </c>
      <c r="K23" s="53">
        <f>I23/28</f>
        <v>26711.717857142856</v>
      </c>
      <c r="L23" s="54" t="s">
        <v>17</v>
      </c>
      <c r="M23" s="42" t="s">
        <v>799</v>
      </c>
      <c r="N23" s="42" t="s">
        <v>436</v>
      </c>
    </row>
    <row r="24" spans="1:14" s="28" customFormat="1" ht="56.25">
      <c r="A24" s="66" t="s">
        <v>707</v>
      </c>
      <c r="B24" s="61" t="s">
        <v>708</v>
      </c>
      <c r="C24" s="61" t="s">
        <v>709</v>
      </c>
      <c r="D24" s="61" t="s">
        <v>710</v>
      </c>
      <c r="E24" s="67" t="s">
        <v>53</v>
      </c>
      <c r="F24" s="76" t="s">
        <v>711</v>
      </c>
      <c r="G24" s="67" t="s">
        <v>712</v>
      </c>
      <c r="H24" s="67" t="s">
        <v>713</v>
      </c>
      <c r="I24" s="71">
        <v>1414236.7</v>
      </c>
      <c r="J24" s="77" t="s">
        <v>714</v>
      </c>
      <c r="K24" s="71">
        <f>I24/84*3</f>
        <v>50508.453571428574</v>
      </c>
      <c r="L24" s="78" t="s">
        <v>17</v>
      </c>
      <c r="M24" s="82" t="s">
        <v>798</v>
      </c>
      <c r="N24" s="82" t="s">
        <v>436</v>
      </c>
    </row>
    <row r="25" spans="1:14" s="28" customFormat="1" ht="247.5">
      <c r="A25" s="50" t="s">
        <v>405</v>
      </c>
      <c r="B25" s="51" t="s">
        <v>406</v>
      </c>
      <c r="C25" s="5" t="s">
        <v>407</v>
      </c>
      <c r="D25" s="5" t="s">
        <v>408</v>
      </c>
      <c r="E25" s="1" t="s">
        <v>53</v>
      </c>
      <c r="F25" s="1" t="s">
        <v>409</v>
      </c>
      <c r="G25" s="1" t="s">
        <v>410</v>
      </c>
      <c r="H25" s="1" t="s">
        <v>127</v>
      </c>
      <c r="I25" s="21">
        <v>957933.6</v>
      </c>
      <c r="J25" s="52" t="s">
        <v>455</v>
      </c>
      <c r="K25" s="53">
        <f>I25/28/400*400</f>
        <v>34211.91428571429</v>
      </c>
      <c r="L25" s="54" t="s">
        <v>17</v>
      </c>
      <c r="M25" s="42" t="s">
        <v>457</v>
      </c>
      <c r="N25" s="42" t="s">
        <v>436</v>
      </c>
    </row>
    <row r="26" spans="1:14" s="28" customFormat="1" ht="135">
      <c r="A26" s="51">
        <v>1328630</v>
      </c>
      <c r="B26" s="51" t="s">
        <v>411</v>
      </c>
      <c r="C26" s="55" t="s">
        <v>412</v>
      </c>
      <c r="D26" s="56" t="s">
        <v>413</v>
      </c>
      <c r="E26" s="1" t="s">
        <v>53</v>
      </c>
      <c r="F26" s="1" t="s">
        <v>414</v>
      </c>
      <c r="G26" s="1" t="s">
        <v>410</v>
      </c>
      <c r="H26" s="1" t="s">
        <v>127</v>
      </c>
      <c r="I26" s="21">
        <v>1152402.1</v>
      </c>
      <c r="J26" s="1" t="s">
        <v>415</v>
      </c>
      <c r="K26" s="53">
        <f>I26/28</f>
        <v>41157.21785714286</v>
      </c>
      <c r="L26" s="54" t="s">
        <v>17</v>
      </c>
      <c r="M26" s="42" t="s">
        <v>450</v>
      </c>
      <c r="N26" s="42" t="s">
        <v>436</v>
      </c>
    </row>
    <row r="27" spans="1:14" s="28" customFormat="1" ht="41.25" customHeight="1">
      <c r="A27" s="92" t="s">
        <v>715</v>
      </c>
      <c r="B27" s="92" t="s">
        <v>716</v>
      </c>
      <c r="C27" s="92" t="s">
        <v>717</v>
      </c>
      <c r="D27" s="92" t="s">
        <v>718</v>
      </c>
      <c r="E27" s="101" t="s">
        <v>53</v>
      </c>
      <c r="F27" s="101" t="s">
        <v>719</v>
      </c>
      <c r="G27" s="101" t="s">
        <v>410</v>
      </c>
      <c r="H27" s="101" t="s">
        <v>127</v>
      </c>
      <c r="I27" s="2">
        <v>943902.3</v>
      </c>
      <c r="J27" s="1" t="s">
        <v>720</v>
      </c>
      <c r="K27" s="2">
        <f>I27/28</f>
        <v>33710.79642857143</v>
      </c>
      <c r="L27" s="2" t="s">
        <v>17</v>
      </c>
      <c r="M27" s="42" t="s">
        <v>798</v>
      </c>
      <c r="N27" s="42" t="s">
        <v>436</v>
      </c>
    </row>
    <row r="28" spans="1:14" ht="101.25">
      <c r="A28" s="4" t="s">
        <v>354</v>
      </c>
      <c r="B28" s="5" t="s">
        <v>57</v>
      </c>
      <c r="C28" s="5" t="s">
        <v>58</v>
      </c>
      <c r="D28" s="5" t="s">
        <v>703</v>
      </c>
      <c r="E28" s="1" t="s">
        <v>59</v>
      </c>
      <c r="F28" s="1" t="s">
        <v>355</v>
      </c>
      <c r="G28" s="1" t="s">
        <v>352</v>
      </c>
      <c r="H28" s="1" t="s">
        <v>353</v>
      </c>
      <c r="I28" s="21">
        <v>41589.3</v>
      </c>
      <c r="J28" s="2" t="s">
        <v>17</v>
      </c>
      <c r="K28" s="2" t="s">
        <v>17</v>
      </c>
      <c r="L28" s="40" t="s">
        <v>17</v>
      </c>
      <c r="M28" s="5" t="s">
        <v>953</v>
      </c>
      <c r="N28" s="5" t="s">
        <v>791</v>
      </c>
    </row>
    <row r="29" spans="1:14" s="57" customFormat="1" ht="101.25">
      <c r="A29" s="5" t="s">
        <v>366</v>
      </c>
      <c r="B29" s="5" t="s">
        <v>57</v>
      </c>
      <c r="C29" s="55" t="s">
        <v>58</v>
      </c>
      <c r="D29" s="55" t="s">
        <v>372</v>
      </c>
      <c r="E29" s="1" t="s">
        <v>59</v>
      </c>
      <c r="F29" s="1" t="s">
        <v>351</v>
      </c>
      <c r="G29" s="1" t="s">
        <v>367</v>
      </c>
      <c r="H29" s="1" t="s">
        <v>368</v>
      </c>
      <c r="I29" s="21">
        <v>41589.3</v>
      </c>
      <c r="J29" s="1" t="s">
        <v>17</v>
      </c>
      <c r="K29" s="2" t="s">
        <v>17</v>
      </c>
      <c r="L29" s="40" t="s">
        <v>17</v>
      </c>
      <c r="M29" s="5" t="s">
        <v>953</v>
      </c>
      <c r="N29" s="5" t="s">
        <v>792</v>
      </c>
    </row>
    <row r="30" spans="1:14" s="57" customFormat="1" ht="101.25">
      <c r="A30" s="66" t="s">
        <v>534</v>
      </c>
      <c r="B30" s="61" t="s">
        <v>57</v>
      </c>
      <c r="C30" s="61" t="s">
        <v>58</v>
      </c>
      <c r="D30" s="61" t="s">
        <v>535</v>
      </c>
      <c r="E30" s="67" t="s">
        <v>59</v>
      </c>
      <c r="F30" s="76" t="s">
        <v>351</v>
      </c>
      <c r="G30" s="67" t="s">
        <v>536</v>
      </c>
      <c r="H30" s="67" t="s">
        <v>537</v>
      </c>
      <c r="I30" s="21">
        <v>41589.3</v>
      </c>
      <c r="J30" s="77" t="s">
        <v>17</v>
      </c>
      <c r="K30" s="71" t="s">
        <v>17</v>
      </c>
      <c r="L30" s="70" t="s">
        <v>17</v>
      </c>
      <c r="M30" s="5" t="s">
        <v>953</v>
      </c>
      <c r="N30" s="61" t="s">
        <v>792</v>
      </c>
    </row>
    <row r="31" spans="1:14" s="57" customFormat="1" ht="101.25">
      <c r="A31" s="4" t="s">
        <v>823</v>
      </c>
      <c r="B31" s="32" t="s">
        <v>57</v>
      </c>
      <c r="C31" s="32" t="s">
        <v>58</v>
      </c>
      <c r="D31" s="32" t="s">
        <v>824</v>
      </c>
      <c r="E31" s="2" t="s">
        <v>59</v>
      </c>
      <c r="F31" s="2" t="s">
        <v>355</v>
      </c>
      <c r="G31" s="2" t="s">
        <v>825</v>
      </c>
      <c r="H31" s="2" t="s">
        <v>826</v>
      </c>
      <c r="I31" s="2">
        <v>41589.3</v>
      </c>
      <c r="J31" s="2" t="s">
        <v>17</v>
      </c>
      <c r="K31" s="2" t="s">
        <v>17</v>
      </c>
      <c r="L31" s="59" t="s">
        <v>17</v>
      </c>
      <c r="M31" s="5" t="s">
        <v>953</v>
      </c>
      <c r="N31" s="5" t="s">
        <v>792</v>
      </c>
    </row>
    <row r="32" spans="1:14" ht="112.5">
      <c r="A32" s="4" t="s">
        <v>287</v>
      </c>
      <c r="B32" s="5" t="s">
        <v>288</v>
      </c>
      <c r="C32" s="5" t="s">
        <v>954</v>
      </c>
      <c r="D32" s="5" t="s">
        <v>289</v>
      </c>
      <c r="E32" s="1" t="s">
        <v>290</v>
      </c>
      <c r="F32" s="1" t="s">
        <v>291</v>
      </c>
      <c r="G32" s="1" t="s">
        <v>373</v>
      </c>
      <c r="H32" s="1" t="s">
        <v>24</v>
      </c>
      <c r="I32" s="21">
        <v>329026</v>
      </c>
      <c r="J32" s="2" t="s">
        <v>17</v>
      </c>
      <c r="K32" s="2" t="s">
        <v>17</v>
      </c>
      <c r="L32" s="40" t="s">
        <v>17</v>
      </c>
      <c r="M32" s="5" t="s">
        <v>426</v>
      </c>
      <c r="N32" s="5" t="s">
        <v>805</v>
      </c>
    </row>
    <row r="33" spans="1:14" ht="180">
      <c r="A33" s="4" t="s">
        <v>210</v>
      </c>
      <c r="B33" s="5" t="s">
        <v>61</v>
      </c>
      <c r="C33" s="5" t="s">
        <v>62</v>
      </c>
      <c r="D33" s="5" t="s">
        <v>63</v>
      </c>
      <c r="E33" s="1" t="s">
        <v>111</v>
      </c>
      <c r="F33" s="1" t="s">
        <v>779</v>
      </c>
      <c r="G33" s="1" t="s">
        <v>827</v>
      </c>
      <c r="H33" s="1" t="s">
        <v>54</v>
      </c>
      <c r="I33" s="21">
        <v>12339</v>
      </c>
      <c r="J33" s="2" t="s">
        <v>17</v>
      </c>
      <c r="K33" s="2" t="s">
        <v>17</v>
      </c>
      <c r="L33" s="40" t="s">
        <v>17</v>
      </c>
      <c r="M33" s="5" t="s">
        <v>427</v>
      </c>
      <c r="N33" s="5" t="s">
        <v>828</v>
      </c>
    </row>
    <row r="34" spans="1:14" ht="146.25">
      <c r="A34" s="66">
        <v>1039671</v>
      </c>
      <c r="B34" s="5" t="s">
        <v>972</v>
      </c>
      <c r="C34" s="61" t="s">
        <v>580</v>
      </c>
      <c r="D34" s="61" t="s">
        <v>581</v>
      </c>
      <c r="E34" s="67" t="s">
        <v>53</v>
      </c>
      <c r="F34" s="67" t="s">
        <v>582</v>
      </c>
      <c r="G34" s="67" t="s">
        <v>583</v>
      </c>
      <c r="H34" s="67" t="s">
        <v>584</v>
      </c>
      <c r="I34" s="21">
        <v>585993.2</v>
      </c>
      <c r="J34" s="70" t="s">
        <v>17</v>
      </c>
      <c r="K34" s="71" t="s">
        <v>17</v>
      </c>
      <c r="L34" s="70" t="s">
        <v>17</v>
      </c>
      <c r="M34" s="5" t="s">
        <v>973</v>
      </c>
      <c r="N34" s="85" t="s">
        <v>794</v>
      </c>
    </row>
    <row r="35" spans="1:14" ht="157.5">
      <c r="A35" s="4" t="s">
        <v>304</v>
      </c>
      <c r="B35" s="5" t="s">
        <v>963</v>
      </c>
      <c r="C35" s="5" t="s">
        <v>305</v>
      </c>
      <c r="D35" s="5" t="s">
        <v>306</v>
      </c>
      <c r="E35" s="1" t="s">
        <v>53</v>
      </c>
      <c r="F35" s="1" t="s">
        <v>369</v>
      </c>
      <c r="G35" s="1" t="s">
        <v>964</v>
      </c>
      <c r="H35" s="1" t="s">
        <v>965</v>
      </c>
      <c r="I35" s="21">
        <v>135588</v>
      </c>
      <c r="J35" s="2" t="s">
        <v>17</v>
      </c>
      <c r="K35" s="2" t="s">
        <v>17</v>
      </c>
      <c r="L35" s="40" t="s">
        <v>17</v>
      </c>
      <c r="M35" s="5" t="s">
        <v>570</v>
      </c>
      <c r="N35" s="5" t="s">
        <v>795</v>
      </c>
    </row>
    <row r="36" spans="1:14" ht="157.5">
      <c r="A36" s="66">
        <v>1039337</v>
      </c>
      <c r="B36" s="5" t="s">
        <v>974</v>
      </c>
      <c r="C36" s="61" t="s">
        <v>591</v>
      </c>
      <c r="D36" s="61" t="s">
        <v>592</v>
      </c>
      <c r="E36" s="67" t="s">
        <v>53</v>
      </c>
      <c r="F36" s="67" t="s">
        <v>593</v>
      </c>
      <c r="G36" s="1" t="s">
        <v>964</v>
      </c>
      <c r="H36" s="1" t="s">
        <v>965</v>
      </c>
      <c r="I36" s="21">
        <v>547445.7</v>
      </c>
      <c r="J36" s="70" t="s">
        <v>17</v>
      </c>
      <c r="K36" s="71" t="s">
        <v>17</v>
      </c>
      <c r="L36" s="70" t="s">
        <v>17</v>
      </c>
      <c r="M36" s="87" t="s">
        <v>594</v>
      </c>
      <c r="N36" s="5" t="s">
        <v>796</v>
      </c>
    </row>
    <row r="37" spans="1:14" ht="146.25">
      <c r="A37" s="102">
        <v>1039343</v>
      </c>
      <c r="B37" s="102" t="s">
        <v>721</v>
      </c>
      <c r="C37" s="102" t="s">
        <v>722</v>
      </c>
      <c r="D37" s="102" t="s">
        <v>723</v>
      </c>
      <c r="E37" s="70" t="s">
        <v>55</v>
      </c>
      <c r="F37" s="67" t="s">
        <v>724</v>
      </c>
      <c r="G37" s="67" t="s">
        <v>725</v>
      </c>
      <c r="H37" s="70" t="s">
        <v>56</v>
      </c>
      <c r="I37" s="71">
        <v>594087.8</v>
      </c>
      <c r="J37" s="78" t="s">
        <v>726</v>
      </c>
      <c r="K37" s="78">
        <v>19802.93</v>
      </c>
      <c r="L37" s="78" t="s">
        <v>17</v>
      </c>
      <c r="M37" s="103" t="s">
        <v>800</v>
      </c>
      <c r="N37" s="113" t="s">
        <v>829</v>
      </c>
    </row>
    <row r="38" spans="1:14" s="28" customFormat="1" ht="314.25" customHeight="1">
      <c r="A38" s="66" t="s">
        <v>563</v>
      </c>
      <c r="B38" s="61" t="s">
        <v>706</v>
      </c>
      <c r="C38" s="61" t="s">
        <v>564</v>
      </c>
      <c r="D38" s="61" t="s">
        <v>565</v>
      </c>
      <c r="E38" s="67" t="s">
        <v>66</v>
      </c>
      <c r="F38" s="67" t="s">
        <v>566</v>
      </c>
      <c r="G38" s="1" t="s">
        <v>986</v>
      </c>
      <c r="H38" s="67" t="s">
        <v>127</v>
      </c>
      <c r="I38" s="21">
        <v>47044</v>
      </c>
      <c r="J38" s="70" t="s">
        <v>17</v>
      </c>
      <c r="K38" s="71" t="s">
        <v>17</v>
      </c>
      <c r="L38" s="70" t="s">
        <v>17</v>
      </c>
      <c r="M38" s="5" t="s">
        <v>955</v>
      </c>
      <c r="N38" s="5" t="s">
        <v>956</v>
      </c>
    </row>
    <row r="39" spans="1:14" s="28" customFormat="1" ht="294" customHeight="1">
      <c r="A39" s="66" t="s">
        <v>567</v>
      </c>
      <c r="B39" s="61" t="s">
        <v>706</v>
      </c>
      <c r="C39" s="61" t="s">
        <v>564</v>
      </c>
      <c r="D39" s="61" t="s">
        <v>565</v>
      </c>
      <c r="E39" s="67" t="s">
        <v>66</v>
      </c>
      <c r="F39" s="67" t="s">
        <v>568</v>
      </c>
      <c r="G39" s="1" t="s">
        <v>986</v>
      </c>
      <c r="H39" s="67" t="s">
        <v>127</v>
      </c>
      <c r="I39" s="21">
        <v>118376.1</v>
      </c>
      <c r="J39" s="70" t="s">
        <v>17</v>
      </c>
      <c r="K39" s="71" t="s">
        <v>17</v>
      </c>
      <c r="L39" s="70" t="s">
        <v>17</v>
      </c>
      <c r="M39" s="5" t="s">
        <v>955</v>
      </c>
      <c r="N39" s="5" t="s">
        <v>956</v>
      </c>
    </row>
    <row r="40" spans="1:14" ht="303.75">
      <c r="A40" s="4" t="s">
        <v>211</v>
      </c>
      <c r="B40" s="5" t="s">
        <v>64</v>
      </c>
      <c r="C40" s="5" t="s">
        <v>65</v>
      </c>
      <c r="D40" s="5" t="s">
        <v>240</v>
      </c>
      <c r="E40" s="1" t="s">
        <v>66</v>
      </c>
      <c r="F40" s="1" t="s">
        <v>67</v>
      </c>
      <c r="G40" s="1" t="s">
        <v>50</v>
      </c>
      <c r="H40" s="1" t="s">
        <v>15</v>
      </c>
      <c r="I40" s="21">
        <v>33628.9</v>
      </c>
      <c r="J40" s="2" t="s">
        <v>17</v>
      </c>
      <c r="K40" s="2" t="s">
        <v>17</v>
      </c>
      <c r="L40" s="40" t="s">
        <v>17</v>
      </c>
      <c r="M40" s="5" t="s">
        <v>428</v>
      </c>
      <c r="N40" s="5" t="s">
        <v>830</v>
      </c>
    </row>
    <row r="41" spans="1:14" ht="303.75">
      <c r="A41" s="4" t="s">
        <v>212</v>
      </c>
      <c r="B41" s="5" t="s">
        <v>64</v>
      </c>
      <c r="C41" s="5" t="s">
        <v>65</v>
      </c>
      <c r="D41" s="5" t="s">
        <v>240</v>
      </c>
      <c r="E41" s="1" t="s">
        <v>66</v>
      </c>
      <c r="F41" s="1" t="s">
        <v>68</v>
      </c>
      <c r="G41" s="1" t="s">
        <v>50</v>
      </c>
      <c r="H41" s="1" t="s">
        <v>15</v>
      </c>
      <c r="I41" s="21">
        <v>83984.1</v>
      </c>
      <c r="J41" s="2" t="s">
        <v>17</v>
      </c>
      <c r="K41" s="2" t="s">
        <v>17</v>
      </c>
      <c r="L41" s="40" t="s">
        <v>17</v>
      </c>
      <c r="M41" s="5" t="s">
        <v>428</v>
      </c>
      <c r="N41" s="5" t="s">
        <v>830</v>
      </c>
    </row>
    <row r="42" spans="1:14" ht="146.25">
      <c r="A42" s="5" t="s">
        <v>356</v>
      </c>
      <c r="B42" s="5" t="s">
        <v>64</v>
      </c>
      <c r="C42" s="5" t="s">
        <v>65</v>
      </c>
      <c r="D42" s="5" t="s">
        <v>240</v>
      </c>
      <c r="E42" s="1" t="s">
        <v>27</v>
      </c>
      <c r="F42" s="1" t="s">
        <v>357</v>
      </c>
      <c r="G42" s="1" t="s">
        <v>358</v>
      </c>
      <c r="H42" s="1" t="s">
        <v>15</v>
      </c>
      <c r="I42" s="21">
        <v>163076.4</v>
      </c>
      <c r="J42" s="1" t="s">
        <v>17</v>
      </c>
      <c r="K42" s="1" t="s">
        <v>17</v>
      </c>
      <c r="L42" s="40" t="s">
        <v>17</v>
      </c>
      <c r="M42" s="55" t="s">
        <v>429</v>
      </c>
      <c r="N42" s="5" t="s">
        <v>831</v>
      </c>
    </row>
    <row r="43" spans="1:14" ht="202.5">
      <c r="A43" s="66" t="s">
        <v>538</v>
      </c>
      <c r="B43" s="61" t="s">
        <v>64</v>
      </c>
      <c r="C43" s="61" t="s">
        <v>65</v>
      </c>
      <c r="D43" s="61" t="s">
        <v>539</v>
      </c>
      <c r="E43" s="67" t="s">
        <v>66</v>
      </c>
      <c r="F43" s="67" t="s">
        <v>540</v>
      </c>
      <c r="G43" s="67" t="s">
        <v>247</v>
      </c>
      <c r="H43" s="67" t="s">
        <v>86</v>
      </c>
      <c r="I43" s="71">
        <v>27686</v>
      </c>
      <c r="J43" s="78" t="s">
        <v>17</v>
      </c>
      <c r="K43" s="78" t="s">
        <v>17</v>
      </c>
      <c r="L43" s="79" t="s">
        <v>17</v>
      </c>
      <c r="M43" s="80" t="s">
        <v>541</v>
      </c>
      <c r="N43" s="5" t="s">
        <v>832</v>
      </c>
    </row>
    <row r="44" spans="1:14" ht="202.5">
      <c r="A44" s="66" t="s">
        <v>542</v>
      </c>
      <c r="B44" s="61" t="s">
        <v>64</v>
      </c>
      <c r="C44" s="61" t="s">
        <v>65</v>
      </c>
      <c r="D44" s="61" t="s">
        <v>539</v>
      </c>
      <c r="E44" s="67" t="s">
        <v>66</v>
      </c>
      <c r="F44" s="67" t="s">
        <v>543</v>
      </c>
      <c r="G44" s="67" t="s">
        <v>247</v>
      </c>
      <c r="H44" s="67" t="s">
        <v>86</v>
      </c>
      <c r="I44" s="71">
        <v>69155.2</v>
      </c>
      <c r="J44" s="78" t="s">
        <v>17</v>
      </c>
      <c r="K44" s="78" t="s">
        <v>17</v>
      </c>
      <c r="L44" s="79" t="s">
        <v>17</v>
      </c>
      <c r="M44" s="80" t="s">
        <v>541</v>
      </c>
      <c r="N44" s="5" t="s">
        <v>833</v>
      </c>
    </row>
    <row r="45" spans="1:14" ht="303.75">
      <c r="A45" s="66" t="s">
        <v>544</v>
      </c>
      <c r="B45" s="61" t="s">
        <v>64</v>
      </c>
      <c r="C45" s="61" t="s">
        <v>65</v>
      </c>
      <c r="D45" s="61" t="s">
        <v>545</v>
      </c>
      <c r="E45" s="67" t="s">
        <v>66</v>
      </c>
      <c r="F45" s="67" t="s">
        <v>67</v>
      </c>
      <c r="G45" s="67" t="s">
        <v>185</v>
      </c>
      <c r="H45" s="67" t="s">
        <v>19</v>
      </c>
      <c r="I45" s="71">
        <v>27686</v>
      </c>
      <c r="J45" s="78" t="s">
        <v>17</v>
      </c>
      <c r="K45" s="78" t="s">
        <v>17</v>
      </c>
      <c r="L45" s="79" t="s">
        <v>17</v>
      </c>
      <c r="M45" s="80" t="s">
        <v>428</v>
      </c>
      <c r="N45" s="5" t="s">
        <v>830</v>
      </c>
    </row>
    <row r="46" spans="1:14" ht="303.75">
      <c r="A46" s="66" t="s">
        <v>546</v>
      </c>
      <c r="B46" s="61" t="s">
        <v>64</v>
      </c>
      <c r="C46" s="61" t="s">
        <v>65</v>
      </c>
      <c r="D46" s="61" t="s">
        <v>545</v>
      </c>
      <c r="E46" s="67" t="s">
        <v>66</v>
      </c>
      <c r="F46" s="67" t="s">
        <v>68</v>
      </c>
      <c r="G46" s="67" t="s">
        <v>185</v>
      </c>
      <c r="H46" s="67" t="s">
        <v>19</v>
      </c>
      <c r="I46" s="71">
        <v>69155.2</v>
      </c>
      <c r="J46" s="78" t="s">
        <v>17</v>
      </c>
      <c r="K46" s="78" t="s">
        <v>17</v>
      </c>
      <c r="L46" s="79" t="s">
        <v>17</v>
      </c>
      <c r="M46" s="80" t="s">
        <v>428</v>
      </c>
      <c r="N46" s="5" t="s">
        <v>834</v>
      </c>
    </row>
    <row r="47" spans="1:14" ht="168.75">
      <c r="A47" s="4" t="s">
        <v>213</v>
      </c>
      <c r="B47" s="5" t="s">
        <v>69</v>
      </c>
      <c r="C47" s="5" t="s">
        <v>70</v>
      </c>
      <c r="D47" s="5" t="s">
        <v>71</v>
      </c>
      <c r="E47" s="1" t="s">
        <v>191</v>
      </c>
      <c r="F47" s="1" t="s">
        <v>177</v>
      </c>
      <c r="G47" s="1" t="s">
        <v>50</v>
      </c>
      <c r="H47" s="1" t="s">
        <v>15</v>
      </c>
      <c r="I47" s="21">
        <v>175345.4</v>
      </c>
      <c r="J47" s="2" t="s">
        <v>17</v>
      </c>
      <c r="K47" s="2" t="s">
        <v>17</v>
      </c>
      <c r="L47" s="40" t="s">
        <v>17</v>
      </c>
      <c r="M47" s="55" t="s">
        <v>452</v>
      </c>
      <c r="N47" s="55" t="s">
        <v>801</v>
      </c>
    </row>
    <row r="48" spans="1:14" ht="168.75">
      <c r="A48" s="4" t="s">
        <v>255</v>
      </c>
      <c r="B48" s="5" t="s">
        <v>69</v>
      </c>
      <c r="C48" s="5" t="s">
        <v>70</v>
      </c>
      <c r="D48" s="5" t="s">
        <v>71</v>
      </c>
      <c r="E48" s="1" t="s">
        <v>27</v>
      </c>
      <c r="F48" s="1" t="s">
        <v>256</v>
      </c>
      <c r="G48" s="1" t="s">
        <v>50</v>
      </c>
      <c r="H48" s="1" t="s">
        <v>15</v>
      </c>
      <c r="I48" s="21">
        <v>136715</v>
      </c>
      <c r="J48" s="2" t="s">
        <v>17</v>
      </c>
      <c r="K48" s="2" t="s">
        <v>17</v>
      </c>
      <c r="L48" s="40" t="s">
        <v>17</v>
      </c>
      <c r="M48" s="55" t="s">
        <v>452</v>
      </c>
      <c r="N48" s="55" t="s">
        <v>801</v>
      </c>
    </row>
    <row r="49" spans="1:17" s="28" customFormat="1" ht="168.75">
      <c r="A49" s="88" t="s">
        <v>639</v>
      </c>
      <c r="B49" s="89" t="s">
        <v>835</v>
      </c>
      <c r="C49" s="89" t="s">
        <v>70</v>
      </c>
      <c r="D49" s="5" t="s">
        <v>640</v>
      </c>
      <c r="E49" s="1" t="s">
        <v>59</v>
      </c>
      <c r="F49" s="1" t="s">
        <v>641</v>
      </c>
      <c r="G49" s="1" t="s">
        <v>247</v>
      </c>
      <c r="H49" s="1" t="s">
        <v>86</v>
      </c>
      <c r="I49" s="21">
        <v>26227.7</v>
      </c>
      <c r="J49" s="2" t="s">
        <v>17</v>
      </c>
      <c r="K49" s="21" t="s">
        <v>17</v>
      </c>
      <c r="L49" s="59" t="s">
        <v>17</v>
      </c>
      <c r="M49" s="55" t="s">
        <v>452</v>
      </c>
      <c r="N49" s="55" t="s">
        <v>801</v>
      </c>
      <c r="O49" s="90"/>
      <c r="P49" s="90"/>
      <c r="Q49" s="90"/>
    </row>
    <row r="50" spans="1:14" s="90" customFormat="1" ht="168.75">
      <c r="A50" s="88" t="s">
        <v>642</v>
      </c>
      <c r="B50" s="5" t="s">
        <v>69</v>
      </c>
      <c r="C50" s="5" t="s">
        <v>70</v>
      </c>
      <c r="D50" s="91" t="s">
        <v>643</v>
      </c>
      <c r="E50" s="1" t="s">
        <v>59</v>
      </c>
      <c r="F50" s="1" t="s">
        <v>641</v>
      </c>
      <c r="G50" s="1" t="s">
        <v>39</v>
      </c>
      <c r="H50" s="1" t="s">
        <v>40</v>
      </c>
      <c r="I50" s="21">
        <v>26227.7</v>
      </c>
      <c r="J50" s="2" t="s">
        <v>17</v>
      </c>
      <c r="K50" s="2" t="s">
        <v>17</v>
      </c>
      <c r="L50" s="2" t="s">
        <v>17</v>
      </c>
      <c r="M50" s="55" t="s">
        <v>452</v>
      </c>
      <c r="N50" s="55" t="s">
        <v>801</v>
      </c>
    </row>
    <row r="51" spans="1:17" s="90" customFormat="1" ht="168.75">
      <c r="A51" s="88" t="s">
        <v>644</v>
      </c>
      <c r="B51" s="5" t="s">
        <v>69</v>
      </c>
      <c r="C51" s="5" t="s">
        <v>70</v>
      </c>
      <c r="D51" s="91" t="s">
        <v>643</v>
      </c>
      <c r="E51" s="1" t="s">
        <v>59</v>
      </c>
      <c r="F51" s="1" t="s">
        <v>645</v>
      </c>
      <c r="G51" s="1" t="s">
        <v>39</v>
      </c>
      <c r="H51" s="1" t="s">
        <v>40</v>
      </c>
      <c r="I51" s="21">
        <v>73343.3</v>
      </c>
      <c r="J51" s="2" t="s">
        <v>17</v>
      </c>
      <c r="K51" s="2" t="s">
        <v>17</v>
      </c>
      <c r="L51" s="2" t="s">
        <v>17</v>
      </c>
      <c r="M51" s="55" t="s">
        <v>452</v>
      </c>
      <c r="N51" s="55" t="s">
        <v>801</v>
      </c>
      <c r="O51" s="28"/>
      <c r="P51" s="28"/>
      <c r="Q51" s="28"/>
    </row>
    <row r="52" spans="1:17" s="90" customFormat="1" ht="180">
      <c r="A52" s="5" t="s">
        <v>836</v>
      </c>
      <c r="B52" s="5" t="s">
        <v>835</v>
      </c>
      <c r="C52" s="5" t="s">
        <v>70</v>
      </c>
      <c r="D52" s="5" t="s">
        <v>640</v>
      </c>
      <c r="E52" s="1" t="s">
        <v>59</v>
      </c>
      <c r="F52" s="1" t="s">
        <v>645</v>
      </c>
      <c r="G52" s="1" t="s">
        <v>837</v>
      </c>
      <c r="H52" s="1" t="s">
        <v>838</v>
      </c>
      <c r="I52" s="21">
        <v>73343.3</v>
      </c>
      <c r="J52" s="59" t="s">
        <v>17</v>
      </c>
      <c r="K52" s="2" t="s">
        <v>17</v>
      </c>
      <c r="L52" s="2" t="s">
        <v>17</v>
      </c>
      <c r="M52" s="55" t="s">
        <v>839</v>
      </c>
      <c r="N52" s="55" t="s">
        <v>801</v>
      </c>
      <c r="O52" s="28"/>
      <c r="P52" s="28"/>
      <c r="Q52" s="28"/>
    </row>
    <row r="53" spans="1:17" s="90" customFormat="1" ht="180">
      <c r="A53" s="50" t="s">
        <v>840</v>
      </c>
      <c r="B53" s="51" t="s">
        <v>69</v>
      </c>
      <c r="C53" s="5" t="s">
        <v>70</v>
      </c>
      <c r="D53" s="5" t="s">
        <v>841</v>
      </c>
      <c r="E53" s="1" t="s">
        <v>59</v>
      </c>
      <c r="F53" s="1" t="s">
        <v>641</v>
      </c>
      <c r="G53" s="1" t="s">
        <v>842</v>
      </c>
      <c r="H53" s="1" t="s">
        <v>56</v>
      </c>
      <c r="I53" s="21">
        <v>26227.7</v>
      </c>
      <c r="J53" s="59" t="s">
        <v>17</v>
      </c>
      <c r="K53" s="2" t="s">
        <v>17</v>
      </c>
      <c r="L53" s="2" t="s">
        <v>17</v>
      </c>
      <c r="M53" s="55" t="s">
        <v>839</v>
      </c>
      <c r="N53" s="55" t="s">
        <v>801</v>
      </c>
      <c r="O53" s="28"/>
      <c r="P53" s="28"/>
      <c r="Q53" s="28"/>
    </row>
    <row r="54" spans="1:17" s="90" customFormat="1" ht="180">
      <c r="A54" s="50" t="s">
        <v>843</v>
      </c>
      <c r="B54" s="51" t="s">
        <v>69</v>
      </c>
      <c r="C54" s="5" t="s">
        <v>70</v>
      </c>
      <c r="D54" s="5" t="s">
        <v>841</v>
      </c>
      <c r="E54" s="1" t="s">
        <v>59</v>
      </c>
      <c r="F54" s="1" t="s">
        <v>645</v>
      </c>
      <c r="G54" s="1" t="s">
        <v>842</v>
      </c>
      <c r="H54" s="1" t="s">
        <v>56</v>
      </c>
      <c r="I54" s="21">
        <v>73343.3</v>
      </c>
      <c r="J54" s="59" t="s">
        <v>17</v>
      </c>
      <c r="K54" s="2" t="s">
        <v>17</v>
      </c>
      <c r="L54" s="2" t="s">
        <v>17</v>
      </c>
      <c r="M54" s="55" t="s">
        <v>839</v>
      </c>
      <c r="N54" s="55" t="s">
        <v>801</v>
      </c>
      <c r="O54" s="28"/>
      <c r="P54" s="28"/>
      <c r="Q54" s="28"/>
    </row>
    <row r="55" spans="1:14" ht="270">
      <c r="A55" s="4" t="s">
        <v>214</v>
      </c>
      <c r="B55" s="5" t="s">
        <v>72</v>
      </c>
      <c r="C55" s="5" t="s">
        <v>73</v>
      </c>
      <c r="D55" s="5" t="s">
        <v>74</v>
      </c>
      <c r="E55" s="1" t="s">
        <v>75</v>
      </c>
      <c r="F55" s="1" t="s">
        <v>76</v>
      </c>
      <c r="G55" s="1" t="s">
        <v>77</v>
      </c>
      <c r="H55" s="1" t="s">
        <v>24</v>
      </c>
      <c r="I55" s="21">
        <v>18863.9</v>
      </c>
      <c r="J55" s="2" t="s">
        <v>17</v>
      </c>
      <c r="K55" s="2" t="s">
        <v>17</v>
      </c>
      <c r="L55" s="40" t="s">
        <v>17</v>
      </c>
      <c r="M55" s="55" t="s">
        <v>816</v>
      </c>
      <c r="N55" s="55" t="s">
        <v>844</v>
      </c>
    </row>
    <row r="56" spans="1:14" ht="308.25" customHeight="1">
      <c r="A56" s="5" t="s">
        <v>215</v>
      </c>
      <c r="B56" s="5" t="s">
        <v>78</v>
      </c>
      <c r="C56" s="5" t="s">
        <v>79</v>
      </c>
      <c r="D56" s="5" t="s">
        <v>80</v>
      </c>
      <c r="E56" s="1" t="s">
        <v>66</v>
      </c>
      <c r="F56" s="1" t="s">
        <v>780</v>
      </c>
      <c r="G56" s="1" t="s">
        <v>781</v>
      </c>
      <c r="H56" s="1" t="s">
        <v>782</v>
      </c>
      <c r="I56" s="21">
        <v>23405</v>
      </c>
      <c r="J56" s="2" t="s">
        <v>17</v>
      </c>
      <c r="K56" s="2" t="s">
        <v>17</v>
      </c>
      <c r="L56" s="40" t="s">
        <v>17</v>
      </c>
      <c r="M56" s="5" t="s">
        <v>957</v>
      </c>
      <c r="N56" s="55" t="s">
        <v>845</v>
      </c>
    </row>
    <row r="57" spans="1:14" ht="307.5" customHeight="1">
      <c r="A57" s="5" t="s">
        <v>216</v>
      </c>
      <c r="B57" s="5" t="s">
        <v>78</v>
      </c>
      <c r="C57" s="5" t="s">
        <v>79</v>
      </c>
      <c r="D57" s="5" t="s">
        <v>80</v>
      </c>
      <c r="E57" s="1" t="s">
        <v>66</v>
      </c>
      <c r="F57" s="1" t="s">
        <v>783</v>
      </c>
      <c r="G57" s="1" t="s">
        <v>781</v>
      </c>
      <c r="H57" s="1" t="s">
        <v>782</v>
      </c>
      <c r="I57" s="21">
        <v>84597.9</v>
      </c>
      <c r="J57" s="2" t="s">
        <v>17</v>
      </c>
      <c r="K57" s="2" t="s">
        <v>17</v>
      </c>
      <c r="L57" s="40" t="s">
        <v>17</v>
      </c>
      <c r="M57" s="5" t="s">
        <v>957</v>
      </c>
      <c r="N57" s="55" t="s">
        <v>845</v>
      </c>
    </row>
    <row r="58" spans="1:14" ht="292.5">
      <c r="A58" s="114" t="s">
        <v>846</v>
      </c>
      <c r="B58" s="5" t="s">
        <v>847</v>
      </c>
      <c r="C58" s="115" t="s">
        <v>79</v>
      </c>
      <c r="D58" s="5" t="s">
        <v>848</v>
      </c>
      <c r="E58" s="1" t="s">
        <v>66</v>
      </c>
      <c r="F58" s="1" t="s">
        <v>476</v>
      </c>
      <c r="G58" s="1" t="s">
        <v>849</v>
      </c>
      <c r="H58" s="1" t="s">
        <v>491</v>
      </c>
      <c r="I58" s="21">
        <v>19670.9</v>
      </c>
      <c r="J58" s="2" t="s">
        <v>17</v>
      </c>
      <c r="K58" s="2" t="s">
        <v>17</v>
      </c>
      <c r="L58" s="40" t="s">
        <v>17</v>
      </c>
      <c r="M58" s="5" t="s">
        <v>850</v>
      </c>
      <c r="N58" s="55" t="s">
        <v>845</v>
      </c>
    </row>
    <row r="59" spans="1:14" ht="292.5">
      <c r="A59" s="114" t="s">
        <v>851</v>
      </c>
      <c r="B59" s="5" t="s">
        <v>847</v>
      </c>
      <c r="C59" s="115" t="s">
        <v>79</v>
      </c>
      <c r="D59" s="5" t="s">
        <v>848</v>
      </c>
      <c r="E59" s="1" t="s">
        <v>66</v>
      </c>
      <c r="F59" s="1" t="s">
        <v>852</v>
      </c>
      <c r="G59" s="1" t="s">
        <v>849</v>
      </c>
      <c r="H59" s="1" t="s">
        <v>491</v>
      </c>
      <c r="I59" s="21">
        <v>72275.9</v>
      </c>
      <c r="J59" s="2" t="s">
        <v>17</v>
      </c>
      <c r="K59" s="2" t="s">
        <v>17</v>
      </c>
      <c r="L59" s="40" t="s">
        <v>17</v>
      </c>
      <c r="M59" s="5" t="s">
        <v>850</v>
      </c>
      <c r="N59" s="55" t="s">
        <v>845</v>
      </c>
    </row>
    <row r="60" spans="1:14" ht="180">
      <c r="A60" s="5" t="s">
        <v>257</v>
      </c>
      <c r="B60" s="5" t="s">
        <v>258</v>
      </c>
      <c r="C60" s="5" t="s">
        <v>259</v>
      </c>
      <c r="D60" s="5" t="s">
        <v>260</v>
      </c>
      <c r="E60" s="1" t="s">
        <v>66</v>
      </c>
      <c r="F60" s="1" t="s">
        <v>261</v>
      </c>
      <c r="G60" s="1" t="s">
        <v>39</v>
      </c>
      <c r="H60" s="1" t="s">
        <v>40</v>
      </c>
      <c r="I60" s="21">
        <v>39163.6</v>
      </c>
      <c r="J60" s="2" t="s">
        <v>17</v>
      </c>
      <c r="K60" s="2" t="s">
        <v>17</v>
      </c>
      <c r="L60" s="40" t="s">
        <v>17</v>
      </c>
      <c r="M60" s="5" t="s">
        <v>817</v>
      </c>
      <c r="N60" s="5" t="s">
        <v>853</v>
      </c>
    </row>
    <row r="61" spans="1:14" ht="146.25">
      <c r="A61" s="5" t="s">
        <v>292</v>
      </c>
      <c r="B61" s="5" t="s">
        <v>293</v>
      </c>
      <c r="C61" s="5" t="s">
        <v>294</v>
      </c>
      <c r="D61" s="5" t="s">
        <v>295</v>
      </c>
      <c r="E61" s="1" t="s">
        <v>59</v>
      </c>
      <c r="F61" s="1" t="s">
        <v>296</v>
      </c>
      <c r="G61" s="1" t="s">
        <v>297</v>
      </c>
      <c r="H61" s="1" t="s">
        <v>54</v>
      </c>
      <c r="I61" s="21">
        <v>323648.9</v>
      </c>
      <c r="J61" s="2" t="s">
        <v>17</v>
      </c>
      <c r="K61" s="2" t="s">
        <v>17</v>
      </c>
      <c r="L61" s="40" t="s">
        <v>17</v>
      </c>
      <c r="M61" s="58" t="s">
        <v>533</v>
      </c>
      <c r="N61" s="55" t="s">
        <v>854</v>
      </c>
    </row>
    <row r="62" spans="1:14" s="28" customFormat="1" ht="202.5">
      <c r="A62" s="51" t="s">
        <v>392</v>
      </c>
      <c r="B62" s="51" t="s">
        <v>393</v>
      </c>
      <c r="C62" s="55" t="s">
        <v>394</v>
      </c>
      <c r="D62" s="56" t="s">
        <v>397</v>
      </c>
      <c r="E62" s="1" t="s">
        <v>66</v>
      </c>
      <c r="F62" s="1" t="s">
        <v>395</v>
      </c>
      <c r="G62" s="1" t="s">
        <v>396</v>
      </c>
      <c r="H62" s="1" t="s">
        <v>15</v>
      </c>
      <c r="I62" s="21">
        <v>264039.9</v>
      </c>
      <c r="J62" s="1" t="s">
        <v>17</v>
      </c>
      <c r="K62" s="53" t="s">
        <v>17</v>
      </c>
      <c r="L62" s="54" t="s">
        <v>17</v>
      </c>
      <c r="M62" s="42" t="s">
        <v>818</v>
      </c>
      <c r="N62" s="5" t="s">
        <v>802</v>
      </c>
    </row>
    <row r="63" spans="1:14" s="28" customFormat="1" ht="185.25" customHeight="1">
      <c r="A63" s="51" t="s">
        <v>399</v>
      </c>
      <c r="B63" s="51" t="s">
        <v>400</v>
      </c>
      <c r="C63" s="55" t="s">
        <v>401</v>
      </c>
      <c r="D63" s="56" t="s">
        <v>404</v>
      </c>
      <c r="E63" s="1" t="s">
        <v>59</v>
      </c>
      <c r="F63" s="1" t="s">
        <v>243</v>
      </c>
      <c r="G63" s="1" t="s">
        <v>958</v>
      </c>
      <c r="H63" s="1" t="s">
        <v>15</v>
      </c>
      <c r="I63" s="21">
        <v>164336</v>
      </c>
      <c r="J63" s="1" t="s">
        <v>17</v>
      </c>
      <c r="K63" s="53" t="s">
        <v>17</v>
      </c>
      <c r="L63" s="54" t="s">
        <v>17</v>
      </c>
      <c r="M63" s="42" t="s">
        <v>959</v>
      </c>
      <c r="N63" s="55" t="s">
        <v>803</v>
      </c>
    </row>
    <row r="64" spans="1:14" s="28" customFormat="1" ht="185.25" customHeight="1">
      <c r="A64" s="51" t="s">
        <v>402</v>
      </c>
      <c r="B64" s="51" t="s">
        <v>400</v>
      </c>
      <c r="C64" s="55" t="s">
        <v>401</v>
      </c>
      <c r="D64" s="56" t="s">
        <v>404</v>
      </c>
      <c r="E64" s="1" t="s">
        <v>59</v>
      </c>
      <c r="F64" s="1" t="s">
        <v>403</v>
      </c>
      <c r="G64" s="1" t="s">
        <v>958</v>
      </c>
      <c r="H64" s="1" t="s">
        <v>15</v>
      </c>
      <c r="I64" s="21">
        <v>262941.6</v>
      </c>
      <c r="J64" s="1" t="s">
        <v>17</v>
      </c>
      <c r="K64" s="53" t="s">
        <v>17</v>
      </c>
      <c r="L64" s="54" t="s">
        <v>17</v>
      </c>
      <c r="M64" s="42" t="s">
        <v>959</v>
      </c>
      <c r="N64" s="55" t="s">
        <v>803</v>
      </c>
    </row>
    <row r="65" spans="1:14" s="28" customFormat="1" ht="315">
      <c r="A65" s="51" t="s">
        <v>388</v>
      </c>
      <c r="B65" s="51" t="s">
        <v>389</v>
      </c>
      <c r="C65" s="55" t="s">
        <v>390</v>
      </c>
      <c r="D65" s="56" t="s">
        <v>398</v>
      </c>
      <c r="E65" s="1" t="s">
        <v>66</v>
      </c>
      <c r="F65" s="1" t="s">
        <v>391</v>
      </c>
      <c r="G65" s="1" t="s">
        <v>358</v>
      </c>
      <c r="H65" s="1" t="s">
        <v>15</v>
      </c>
      <c r="I65" s="21">
        <v>135968.6</v>
      </c>
      <c r="J65" s="1" t="s">
        <v>17</v>
      </c>
      <c r="K65" s="53" t="s">
        <v>17</v>
      </c>
      <c r="L65" s="54" t="s">
        <v>17</v>
      </c>
      <c r="M65" s="42" t="s">
        <v>531</v>
      </c>
      <c r="N65" s="55" t="s">
        <v>855</v>
      </c>
    </row>
    <row r="66" spans="1:14" ht="409.5" customHeight="1">
      <c r="A66" s="62" t="s">
        <v>474</v>
      </c>
      <c r="B66" s="116" t="s">
        <v>856</v>
      </c>
      <c r="C66" s="63" t="s">
        <v>298</v>
      </c>
      <c r="D66" s="63" t="s">
        <v>299</v>
      </c>
      <c r="E66" s="64" t="s">
        <v>475</v>
      </c>
      <c r="F66" s="64" t="s">
        <v>476</v>
      </c>
      <c r="G66" s="1" t="s">
        <v>960</v>
      </c>
      <c r="H66" s="59" t="s">
        <v>56</v>
      </c>
      <c r="I66" s="21">
        <v>291807.2</v>
      </c>
      <c r="J66" s="2" t="s">
        <v>17</v>
      </c>
      <c r="K66" s="1" t="s">
        <v>17</v>
      </c>
      <c r="L66" s="75" t="s">
        <v>17</v>
      </c>
      <c r="M66" s="5" t="s">
        <v>961</v>
      </c>
      <c r="N66" s="86" t="s">
        <v>962</v>
      </c>
    </row>
    <row r="67" spans="1:14" ht="101.25">
      <c r="A67" s="4">
        <v>1039398</v>
      </c>
      <c r="B67" s="5" t="s">
        <v>81</v>
      </c>
      <c r="C67" s="5" t="s">
        <v>82</v>
      </c>
      <c r="D67" s="5" t="s">
        <v>83</v>
      </c>
      <c r="E67" s="1" t="s">
        <v>53</v>
      </c>
      <c r="F67" s="1" t="s">
        <v>84</v>
      </c>
      <c r="G67" s="1" t="s">
        <v>85</v>
      </c>
      <c r="H67" s="1" t="s">
        <v>86</v>
      </c>
      <c r="I67" s="21">
        <v>141069.6</v>
      </c>
      <c r="J67" s="53" t="s">
        <v>857</v>
      </c>
      <c r="K67" s="2">
        <f aca="true" t="shared" si="0" ref="K67:K73">(I67/30)/250*250</f>
        <v>4702.320000000001</v>
      </c>
      <c r="L67" s="40" t="s">
        <v>17</v>
      </c>
      <c r="M67" s="5" t="s">
        <v>430</v>
      </c>
      <c r="N67" s="86" t="s">
        <v>793</v>
      </c>
    </row>
    <row r="68" spans="1:14" s="90" customFormat="1" ht="101.25">
      <c r="A68" s="50" t="s">
        <v>646</v>
      </c>
      <c r="B68" s="51" t="s">
        <v>81</v>
      </c>
      <c r="C68" s="92" t="s">
        <v>82</v>
      </c>
      <c r="D68" s="92" t="s">
        <v>647</v>
      </c>
      <c r="E68" s="93" t="s">
        <v>53</v>
      </c>
      <c r="F68" s="93" t="s">
        <v>652</v>
      </c>
      <c r="G68" s="93" t="s">
        <v>648</v>
      </c>
      <c r="H68" s="93" t="s">
        <v>649</v>
      </c>
      <c r="I68" s="2">
        <v>75227.6</v>
      </c>
      <c r="J68" s="53" t="s">
        <v>857</v>
      </c>
      <c r="K68" s="2">
        <f t="shared" si="0"/>
        <v>2507.586666666667</v>
      </c>
      <c r="L68" s="59" t="s">
        <v>17</v>
      </c>
      <c r="M68" s="5" t="s">
        <v>430</v>
      </c>
      <c r="N68" s="86" t="s">
        <v>793</v>
      </c>
    </row>
    <row r="69" spans="1:14" s="90" customFormat="1" ht="101.25">
      <c r="A69" s="88" t="s">
        <v>650</v>
      </c>
      <c r="B69" s="5" t="s">
        <v>81</v>
      </c>
      <c r="C69" s="5" t="s">
        <v>82</v>
      </c>
      <c r="D69" s="91" t="s">
        <v>651</v>
      </c>
      <c r="E69" s="1" t="s">
        <v>53</v>
      </c>
      <c r="F69" s="1" t="s">
        <v>652</v>
      </c>
      <c r="G69" s="1" t="s">
        <v>653</v>
      </c>
      <c r="H69" s="1" t="s">
        <v>491</v>
      </c>
      <c r="I69" s="2">
        <v>75227.6</v>
      </c>
      <c r="J69" s="53" t="s">
        <v>857</v>
      </c>
      <c r="K69" s="2">
        <f t="shared" si="0"/>
        <v>2507.586666666667</v>
      </c>
      <c r="L69" s="59" t="s">
        <v>17</v>
      </c>
      <c r="M69" s="5" t="s">
        <v>430</v>
      </c>
      <c r="N69" s="86" t="s">
        <v>794</v>
      </c>
    </row>
    <row r="70" spans="1:17" s="90" customFormat="1" ht="101.25">
      <c r="A70" s="88" t="s">
        <v>654</v>
      </c>
      <c r="B70" s="5" t="s">
        <v>81</v>
      </c>
      <c r="C70" s="5" t="s">
        <v>82</v>
      </c>
      <c r="D70" s="91" t="s">
        <v>655</v>
      </c>
      <c r="E70" s="1" t="s">
        <v>53</v>
      </c>
      <c r="F70" s="1" t="s">
        <v>656</v>
      </c>
      <c r="G70" s="1" t="s">
        <v>657</v>
      </c>
      <c r="H70" s="1" t="s">
        <v>658</v>
      </c>
      <c r="I70" s="2">
        <v>75227.6</v>
      </c>
      <c r="J70" s="53" t="s">
        <v>857</v>
      </c>
      <c r="K70" s="2">
        <f t="shared" si="0"/>
        <v>2507.586666666667</v>
      </c>
      <c r="L70" s="59" t="s">
        <v>17</v>
      </c>
      <c r="M70" s="5" t="s">
        <v>430</v>
      </c>
      <c r="N70" s="86" t="s">
        <v>793</v>
      </c>
      <c r="O70" s="28"/>
      <c r="P70" s="28"/>
      <c r="Q70" s="28"/>
    </row>
    <row r="71" spans="1:17" s="28" customFormat="1" ht="101.25">
      <c r="A71" s="88" t="s">
        <v>659</v>
      </c>
      <c r="B71" s="5" t="s">
        <v>81</v>
      </c>
      <c r="C71" s="5" t="s">
        <v>82</v>
      </c>
      <c r="D71" s="91" t="s">
        <v>655</v>
      </c>
      <c r="E71" s="1" t="s">
        <v>53</v>
      </c>
      <c r="F71" s="1" t="s">
        <v>660</v>
      </c>
      <c r="G71" s="1" t="s">
        <v>657</v>
      </c>
      <c r="H71" s="1" t="s">
        <v>658</v>
      </c>
      <c r="I71" s="2">
        <v>75227.6</v>
      </c>
      <c r="J71" s="53" t="s">
        <v>857</v>
      </c>
      <c r="K71" s="2">
        <f t="shared" si="0"/>
        <v>2507.586666666667</v>
      </c>
      <c r="L71" s="59" t="s">
        <v>17</v>
      </c>
      <c r="M71" s="5" t="s">
        <v>430</v>
      </c>
      <c r="N71" s="86" t="s">
        <v>793</v>
      </c>
      <c r="O71" s="90"/>
      <c r="P71" s="90"/>
      <c r="Q71" s="90"/>
    </row>
    <row r="72" spans="1:17" s="28" customFormat="1" ht="101.25">
      <c r="A72" s="50" t="s">
        <v>858</v>
      </c>
      <c r="B72" s="50" t="s">
        <v>81</v>
      </c>
      <c r="C72" s="89" t="s">
        <v>82</v>
      </c>
      <c r="D72" s="89" t="s">
        <v>859</v>
      </c>
      <c r="E72" s="94" t="s">
        <v>53</v>
      </c>
      <c r="F72" s="94" t="s">
        <v>652</v>
      </c>
      <c r="G72" s="1" t="s">
        <v>860</v>
      </c>
      <c r="H72" s="1" t="s">
        <v>491</v>
      </c>
      <c r="I72" s="2">
        <v>75227.6</v>
      </c>
      <c r="J72" s="53" t="s">
        <v>857</v>
      </c>
      <c r="K72" s="2">
        <f t="shared" si="0"/>
        <v>2507.586666666667</v>
      </c>
      <c r="L72" s="59" t="s">
        <v>17</v>
      </c>
      <c r="M72" s="5" t="s">
        <v>430</v>
      </c>
      <c r="N72" s="86" t="s">
        <v>793</v>
      </c>
      <c r="O72" s="90"/>
      <c r="P72" s="90"/>
      <c r="Q72" s="90"/>
    </row>
    <row r="73" spans="1:17" s="28" customFormat="1" ht="101.25">
      <c r="A73" s="50" t="s">
        <v>861</v>
      </c>
      <c r="B73" s="50" t="s">
        <v>81</v>
      </c>
      <c r="C73" s="89" t="s">
        <v>82</v>
      </c>
      <c r="D73" s="89" t="s">
        <v>862</v>
      </c>
      <c r="E73" s="94" t="s">
        <v>53</v>
      </c>
      <c r="F73" s="94" t="s">
        <v>652</v>
      </c>
      <c r="G73" s="1" t="s">
        <v>863</v>
      </c>
      <c r="H73" s="1" t="s">
        <v>864</v>
      </c>
      <c r="I73" s="2">
        <v>75227.6</v>
      </c>
      <c r="J73" s="53" t="s">
        <v>857</v>
      </c>
      <c r="K73" s="2">
        <f t="shared" si="0"/>
        <v>2507.586666666667</v>
      </c>
      <c r="L73" s="59" t="s">
        <v>17</v>
      </c>
      <c r="M73" s="5" t="s">
        <v>430</v>
      </c>
      <c r="N73" s="86" t="s">
        <v>793</v>
      </c>
      <c r="O73" s="90"/>
      <c r="P73" s="90"/>
      <c r="Q73" s="90"/>
    </row>
    <row r="74" spans="1:14" ht="101.25">
      <c r="A74" s="4">
        <v>1039402</v>
      </c>
      <c r="B74" s="5" t="s">
        <v>87</v>
      </c>
      <c r="C74" s="5" t="s">
        <v>88</v>
      </c>
      <c r="D74" s="5" t="s">
        <v>89</v>
      </c>
      <c r="E74" s="1" t="s">
        <v>53</v>
      </c>
      <c r="F74" s="1" t="s">
        <v>90</v>
      </c>
      <c r="G74" s="1" t="s">
        <v>50</v>
      </c>
      <c r="H74" s="1" t="s">
        <v>15</v>
      </c>
      <c r="I74" s="21">
        <v>29241.7</v>
      </c>
      <c r="J74" s="2" t="s">
        <v>865</v>
      </c>
      <c r="K74" s="2">
        <f>(I74/30)/25*150</f>
        <v>5848.34</v>
      </c>
      <c r="L74" s="40" t="s">
        <v>17</v>
      </c>
      <c r="M74" s="5" t="s">
        <v>431</v>
      </c>
      <c r="N74" s="5" t="s">
        <v>793</v>
      </c>
    </row>
    <row r="75" spans="1:14" ht="101.25">
      <c r="A75" s="4">
        <v>1039403</v>
      </c>
      <c r="B75" s="5" t="s">
        <v>87</v>
      </c>
      <c r="C75" s="5" t="s">
        <v>88</v>
      </c>
      <c r="D75" s="5" t="s">
        <v>89</v>
      </c>
      <c r="E75" s="1" t="s">
        <v>53</v>
      </c>
      <c r="F75" s="1" t="s">
        <v>91</v>
      </c>
      <c r="G75" s="1" t="s">
        <v>50</v>
      </c>
      <c r="H75" s="1" t="s">
        <v>15</v>
      </c>
      <c r="I75" s="21">
        <v>71149.8</v>
      </c>
      <c r="J75" s="2" t="s">
        <v>865</v>
      </c>
      <c r="K75" s="2">
        <f>(I75/30)/100*150</f>
        <v>3557.4900000000007</v>
      </c>
      <c r="L75" s="40" t="s">
        <v>17</v>
      </c>
      <c r="M75" s="5" t="s">
        <v>431</v>
      </c>
      <c r="N75" s="5" t="s">
        <v>793</v>
      </c>
    </row>
    <row r="76" spans="1:14" ht="101.25">
      <c r="A76" s="4">
        <v>1039404</v>
      </c>
      <c r="B76" s="5" t="s">
        <v>87</v>
      </c>
      <c r="C76" s="5" t="s">
        <v>88</v>
      </c>
      <c r="D76" s="5" t="s">
        <v>89</v>
      </c>
      <c r="E76" s="1" t="s">
        <v>53</v>
      </c>
      <c r="F76" s="1" t="s">
        <v>92</v>
      </c>
      <c r="G76" s="1" t="s">
        <v>50</v>
      </c>
      <c r="H76" s="1" t="s">
        <v>15</v>
      </c>
      <c r="I76" s="2">
        <v>92170.3</v>
      </c>
      <c r="J76" s="2" t="s">
        <v>865</v>
      </c>
      <c r="K76" s="2">
        <f>(I76/30)/150*150</f>
        <v>3072.3433333333332</v>
      </c>
      <c r="L76" s="40" t="s">
        <v>17</v>
      </c>
      <c r="M76" s="5" t="s">
        <v>431</v>
      </c>
      <c r="N76" s="5" t="s">
        <v>793</v>
      </c>
    </row>
    <row r="77" spans="1:14" ht="101.25">
      <c r="A77" s="66" t="s">
        <v>462</v>
      </c>
      <c r="B77" s="61" t="s">
        <v>87</v>
      </c>
      <c r="C77" s="61" t="s">
        <v>88</v>
      </c>
      <c r="D77" s="61" t="s">
        <v>463</v>
      </c>
      <c r="E77" s="67" t="s">
        <v>53</v>
      </c>
      <c r="F77" s="67" t="s">
        <v>90</v>
      </c>
      <c r="G77" s="67" t="s">
        <v>464</v>
      </c>
      <c r="H77" s="67" t="s">
        <v>465</v>
      </c>
      <c r="I77" s="21">
        <v>26317.6</v>
      </c>
      <c r="J77" s="2" t="s">
        <v>865</v>
      </c>
      <c r="K77" s="2">
        <f>(I77/30)/25*150</f>
        <v>5263.52</v>
      </c>
      <c r="L77" s="60" t="s">
        <v>17</v>
      </c>
      <c r="M77" s="61" t="s">
        <v>431</v>
      </c>
      <c r="N77" s="5" t="s">
        <v>793</v>
      </c>
    </row>
    <row r="78" spans="1:14" ht="101.25">
      <c r="A78" s="66" t="s">
        <v>466</v>
      </c>
      <c r="B78" s="61" t="s">
        <v>87</v>
      </c>
      <c r="C78" s="61" t="s">
        <v>88</v>
      </c>
      <c r="D78" s="61" t="s">
        <v>463</v>
      </c>
      <c r="E78" s="67" t="s">
        <v>53</v>
      </c>
      <c r="F78" s="67" t="s">
        <v>91</v>
      </c>
      <c r="G78" s="67" t="s">
        <v>464</v>
      </c>
      <c r="H78" s="67" t="s">
        <v>465</v>
      </c>
      <c r="I78" s="21">
        <v>64034.8</v>
      </c>
      <c r="J78" s="2" t="s">
        <v>865</v>
      </c>
      <c r="K78" s="2">
        <f>(I78/30)/100*150</f>
        <v>3201.7400000000002</v>
      </c>
      <c r="L78" s="60" t="s">
        <v>17</v>
      </c>
      <c r="M78" s="61" t="s">
        <v>431</v>
      </c>
      <c r="N78" s="5" t="s">
        <v>793</v>
      </c>
    </row>
    <row r="79" spans="1:14" ht="101.25">
      <c r="A79" s="66" t="s">
        <v>467</v>
      </c>
      <c r="B79" s="61" t="s">
        <v>87</v>
      </c>
      <c r="C79" s="61" t="s">
        <v>88</v>
      </c>
      <c r="D79" s="61" t="s">
        <v>463</v>
      </c>
      <c r="E79" s="67" t="s">
        <v>53</v>
      </c>
      <c r="F79" s="67" t="s">
        <v>92</v>
      </c>
      <c r="G79" s="67" t="s">
        <v>464</v>
      </c>
      <c r="H79" s="67" t="s">
        <v>465</v>
      </c>
      <c r="I79" s="2">
        <v>92170.3</v>
      </c>
      <c r="J79" s="2" t="s">
        <v>865</v>
      </c>
      <c r="K79" s="2">
        <f>(I79/30)/150*150</f>
        <v>3072.3433333333332</v>
      </c>
      <c r="L79" s="60" t="s">
        <v>17</v>
      </c>
      <c r="M79" s="61" t="s">
        <v>431</v>
      </c>
      <c r="N79" s="5" t="s">
        <v>793</v>
      </c>
    </row>
    <row r="80" spans="1:14" ht="101.25">
      <c r="A80" s="66" t="s">
        <v>509</v>
      </c>
      <c r="B80" s="61" t="s">
        <v>87</v>
      </c>
      <c r="C80" s="61" t="s">
        <v>88</v>
      </c>
      <c r="D80" s="61" t="s">
        <v>513</v>
      </c>
      <c r="E80" s="67" t="s">
        <v>53</v>
      </c>
      <c r="F80" s="67" t="s">
        <v>90</v>
      </c>
      <c r="G80" s="67" t="s">
        <v>510</v>
      </c>
      <c r="H80" s="67" t="s">
        <v>244</v>
      </c>
      <c r="I80" s="21">
        <v>26317.6</v>
      </c>
      <c r="J80" s="2" t="s">
        <v>865</v>
      </c>
      <c r="K80" s="2">
        <f>(I80/30)/25*150</f>
        <v>5263.52</v>
      </c>
      <c r="L80" s="60" t="s">
        <v>17</v>
      </c>
      <c r="M80" s="61" t="s">
        <v>431</v>
      </c>
      <c r="N80" s="5" t="s">
        <v>793</v>
      </c>
    </row>
    <row r="81" spans="1:14" ht="101.25">
      <c r="A81" s="66" t="s">
        <v>511</v>
      </c>
      <c r="B81" s="61" t="s">
        <v>87</v>
      </c>
      <c r="C81" s="61" t="s">
        <v>88</v>
      </c>
      <c r="D81" s="61" t="s">
        <v>513</v>
      </c>
      <c r="E81" s="67" t="s">
        <v>53</v>
      </c>
      <c r="F81" s="67" t="s">
        <v>91</v>
      </c>
      <c r="G81" s="67" t="s">
        <v>510</v>
      </c>
      <c r="H81" s="67" t="s">
        <v>244</v>
      </c>
      <c r="I81" s="21">
        <v>64034.8</v>
      </c>
      <c r="J81" s="2" t="s">
        <v>865</v>
      </c>
      <c r="K81" s="2">
        <f>(I81/30)/100*150</f>
        <v>3201.7400000000002</v>
      </c>
      <c r="L81" s="60" t="s">
        <v>17</v>
      </c>
      <c r="M81" s="61" t="s">
        <v>431</v>
      </c>
      <c r="N81" s="5" t="s">
        <v>793</v>
      </c>
    </row>
    <row r="82" spans="1:14" ht="101.25">
      <c r="A82" s="66" t="s">
        <v>512</v>
      </c>
      <c r="B82" s="61" t="s">
        <v>87</v>
      </c>
      <c r="C82" s="61" t="s">
        <v>88</v>
      </c>
      <c r="D82" s="61" t="s">
        <v>513</v>
      </c>
      <c r="E82" s="67" t="s">
        <v>53</v>
      </c>
      <c r="F82" s="67" t="s">
        <v>92</v>
      </c>
      <c r="G82" s="67" t="s">
        <v>510</v>
      </c>
      <c r="H82" s="67" t="s">
        <v>244</v>
      </c>
      <c r="I82" s="2">
        <v>92170.3</v>
      </c>
      <c r="J82" s="2" t="s">
        <v>865</v>
      </c>
      <c r="K82" s="2">
        <f>(I82/30)/150*150</f>
        <v>3072.3433333333332</v>
      </c>
      <c r="L82" s="60" t="s">
        <v>17</v>
      </c>
      <c r="M82" s="61" t="s">
        <v>431</v>
      </c>
      <c r="N82" s="5" t="s">
        <v>793</v>
      </c>
    </row>
    <row r="83" spans="1:14" s="90" customFormat="1" ht="101.25">
      <c r="A83" s="88" t="s">
        <v>661</v>
      </c>
      <c r="B83" s="89" t="s">
        <v>87</v>
      </c>
      <c r="C83" s="5" t="s">
        <v>88</v>
      </c>
      <c r="D83" s="91" t="s">
        <v>662</v>
      </c>
      <c r="E83" s="1" t="s">
        <v>53</v>
      </c>
      <c r="F83" s="1" t="s">
        <v>90</v>
      </c>
      <c r="G83" s="1" t="s">
        <v>663</v>
      </c>
      <c r="H83" s="1" t="s">
        <v>465</v>
      </c>
      <c r="I83" s="21">
        <v>26317.6</v>
      </c>
      <c r="J83" s="2" t="s">
        <v>865</v>
      </c>
      <c r="K83" s="2">
        <f>(I83/30)/25*150</f>
        <v>5263.52</v>
      </c>
      <c r="L83" s="59" t="s">
        <v>17</v>
      </c>
      <c r="M83" s="5" t="s">
        <v>431</v>
      </c>
      <c r="N83" s="5" t="s">
        <v>793</v>
      </c>
    </row>
    <row r="84" spans="1:14" s="90" customFormat="1" ht="101.25">
      <c r="A84" s="88" t="s">
        <v>664</v>
      </c>
      <c r="B84" s="89" t="s">
        <v>87</v>
      </c>
      <c r="C84" s="5" t="s">
        <v>88</v>
      </c>
      <c r="D84" s="91" t="s">
        <v>662</v>
      </c>
      <c r="E84" s="1" t="s">
        <v>53</v>
      </c>
      <c r="F84" s="1" t="s">
        <v>91</v>
      </c>
      <c r="G84" s="1" t="s">
        <v>663</v>
      </c>
      <c r="H84" s="1" t="s">
        <v>465</v>
      </c>
      <c r="I84" s="21">
        <v>64034.8</v>
      </c>
      <c r="J84" s="2" t="s">
        <v>865</v>
      </c>
      <c r="K84" s="2">
        <f>(I84/30)/100*150</f>
        <v>3201.7400000000002</v>
      </c>
      <c r="L84" s="59" t="s">
        <v>17</v>
      </c>
      <c r="M84" s="5" t="s">
        <v>431</v>
      </c>
      <c r="N84" s="5" t="s">
        <v>793</v>
      </c>
    </row>
    <row r="85" spans="1:14" s="90" customFormat="1" ht="101.25">
      <c r="A85" s="88" t="s">
        <v>665</v>
      </c>
      <c r="B85" s="89" t="s">
        <v>87</v>
      </c>
      <c r="C85" s="5" t="s">
        <v>88</v>
      </c>
      <c r="D85" s="91" t="s">
        <v>662</v>
      </c>
      <c r="E85" s="1" t="s">
        <v>53</v>
      </c>
      <c r="F85" s="1" t="s">
        <v>92</v>
      </c>
      <c r="G85" s="1" t="s">
        <v>663</v>
      </c>
      <c r="H85" s="1" t="s">
        <v>465</v>
      </c>
      <c r="I85" s="2">
        <v>92170.3</v>
      </c>
      <c r="J85" s="2" t="s">
        <v>865</v>
      </c>
      <c r="K85" s="2">
        <f>(I85/30)/150*150</f>
        <v>3072.3433333333332</v>
      </c>
      <c r="L85" s="59" t="s">
        <v>17</v>
      </c>
      <c r="M85" s="5" t="s">
        <v>431</v>
      </c>
      <c r="N85" s="5" t="s">
        <v>793</v>
      </c>
    </row>
    <row r="86" spans="1:17" s="90" customFormat="1" ht="101.25">
      <c r="A86" s="88" t="s">
        <v>666</v>
      </c>
      <c r="B86" s="89" t="s">
        <v>87</v>
      </c>
      <c r="C86" s="5" t="s">
        <v>88</v>
      </c>
      <c r="D86" s="5" t="s">
        <v>667</v>
      </c>
      <c r="E86" s="94" t="s">
        <v>53</v>
      </c>
      <c r="F86" s="1" t="s">
        <v>668</v>
      </c>
      <c r="G86" s="1" t="s">
        <v>669</v>
      </c>
      <c r="H86" s="1" t="s">
        <v>670</v>
      </c>
      <c r="I86" s="21">
        <v>64034.8</v>
      </c>
      <c r="J86" s="2" t="s">
        <v>865</v>
      </c>
      <c r="K86" s="2">
        <f>(I86/30)/100*150</f>
        <v>3201.7400000000002</v>
      </c>
      <c r="L86" s="53" t="s">
        <v>17</v>
      </c>
      <c r="M86" s="5" t="s">
        <v>431</v>
      </c>
      <c r="N86" s="5" t="s">
        <v>793</v>
      </c>
      <c r="O86" s="28"/>
      <c r="P86" s="28"/>
      <c r="Q86" s="28"/>
    </row>
    <row r="87" spans="1:14" s="28" customFormat="1" ht="101.25">
      <c r="A87" s="88" t="s">
        <v>671</v>
      </c>
      <c r="B87" s="89" t="s">
        <v>87</v>
      </c>
      <c r="C87" s="5" t="s">
        <v>88</v>
      </c>
      <c r="D87" s="5" t="s">
        <v>667</v>
      </c>
      <c r="E87" s="94" t="s">
        <v>53</v>
      </c>
      <c r="F87" s="1" t="s">
        <v>672</v>
      </c>
      <c r="G87" s="1" t="s">
        <v>669</v>
      </c>
      <c r="H87" s="1" t="s">
        <v>670</v>
      </c>
      <c r="I87" s="2">
        <v>92170.3</v>
      </c>
      <c r="J87" s="2" t="s">
        <v>865</v>
      </c>
      <c r="K87" s="2">
        <f>(I87/30)/150*150</f>
        <v>3072.3433333333332</v>
      </c>
      <c r="L87" s="53" t="s">
        <v>17</v>
      </c>
      <c r="M87" s="5" t="s">
        <v>431</v>
      </c>
      <c r="N87" s="5" t="s">
        <v>793</v>
      </c>
    </row>
    <row r="88" spans="1:14" s="28" customFormat="1" ht="101.25">
      <c r="A88" s="50" t="s">
        <v>866</v>
      </c>
      <c r="B88" s="51" t="s">
        <v>87</v>
      </c>
      <c r="C88" s="5" t="s">
        <v>88</v>
      </c>
      <c r="D88" s="5" t="s">
        <v>867</v>
      </c>
      <c r="E88" s="1" t="s">
        <v>53</v>
      </c>
      <c r="F88" s="1" t="s">
        <v>91</v>
      </c>
      <c r="G88" s="1" t="s">
        <v>464</v>
      </c>
      <c r="H88" s="1" t="s">
        <v>465</v>
      </c>
      <c r="I88" s="2">
        <v>64034.8</v>
      </c>
      <c r="J88" s="2" t="s">
        <v>865</v>
      </c>
      <c r="K88" s="2">
        <f>(I88/30)/100*150</f>
        <v>3201.7400000000002</v>
      </c>
      <c r="L88" s="53" t="s">
        <v>17</v>
      </c>
      <c r="M88" s="5" t="s">
        <v>431</v>
      </c>
      <c r="N88" s="5" t="s">
        <v>793</v>
      </c>
    </row>
    <row r="89" spans="1:14" s="28" customFormat="1" ht="101.25">
      <c r="A89" s="50" t="s">
        <v>868</v>
      </c>
      <c r="B89" s="51" t="s">
        <v>87</v>
      </c>
      <c r="C89" s="5" t="s">
        <v>88</v>
      </c>
      <c r="D89" s="5" t="s">
        <v>867</v>
      </c>
      <c r="E89" s="1" t="s">
        <v>53</v>
      </c>
      <c r="F89" s="1" t="s">
        <v>92</v>
      </c>
      <c r="G89" s="1" t="s">
        <v>464</v>
      </c>
      <c r="H89" s="1" t="s">
        <v>465</v>
      </c>
      <c r="I89" s="2">
        <v>92170.3</v>
      </c>
      <c r="J89" s="2" t="s">
        <v>865</v>
      </c>
      <c r="K89" s="2">
        <f>(I89/30)/150*150</f>
        <v>3072.3433333333332</v>
      </c>
      <c r="L89" s="53" t="s">
        <v>17</v>
      </c>
      <c r="M89" s="5" t="s">
        <v>431</v>
      </c>
      <c r="N89" s="5" t="s">
        <v>793</v>
      </c>
    </row>
    <row r="90" spans="1:14" ht="112.5">
      <c r="A90" s="4" t="s">
        <v>217</v>
      </c>
      <c r="B90" s="5" t="s">
        <v>93</v>
      </c>
      <c r="C90" s="5" t="s">
        <v>94</v>
      </c>
      <c r="D90" s="5" t="s">
        <v>95</v>
      </c>
      <c r="E90" s="1" t="s">
        <v>55</v>
      </c>
      <c r="F90" s="1" t="s">
        <v>784</v>
      </c>
      <c r="G90" s="1" t="s">
        <v>96</v>
      </c>
      <c r="H90" s="1" t="s">
        <v>54</v>
      </c>
      <c r="I90" s="21">
        <v>79146.696996</v>
      </c>
      <c r="J90" s="2" t="s">
        <v>869</v>
      </c>
      <c r="K90" s="2">
        <f>(I90/28)/12.5*33</f>
        <v>7462.402859622857</v>
      </c>
      <c r="L90" s="40" t="s">
        <v>17</v>
      </c>
      <c r="M90" s="32" t="s">
        <v>432</v>
      </c>
      <c r="N90" s="5" t="s">
        <v>870</v>
      </c>
    </row>
    <row r="91" spans="1:14" ht="112.5">
      <c r="A91" s="4" t="s">
        <v>218</v>
      </c>
      <c r="B91" s="5" t="s">
        <v>93</v>
      </c>
      <c r="C91" s="5" t="s">
        <v>94</v>
      </c>
      <c r="D91" s="5" t="s">
        <v>95</v>
      </c>
      <c r="E91" s="1" t="s">
        <v>55</v>
      </c>
      <c r="F91" s="1" t="s">
        <v>785</v>
      </c>
      <c r="G91" s="1" t="s">
        <v>96</v>
      </c>
      <c r="H91" s="1" t="s">
        <v>54</v>
      </c>
      <c r="I91" s="117">
        <v>157570.3</v>
      </c>
      <c r="J91" s="2" t="s">
        <v>869</v>
      </c>
      <c r="K91" s="2">
        <f>(I91/28)/25*33</f>
        <v>7428.3141428571425</v>
      </c>
      <c r="L91" s="40" t="s">
        <v>17</v>
      </c>
      <c r="M91" s="32" t="s">
        <v>432</v>
      </c>
      <c r="N91" s="5" t="s">
        <v>870</v>
      </c>
    </row>
    <row r="92" spans="1:14" ht="112.5">
      <c r="A92" s="4" t="s">
        <v>219</v>
      </c>
      <c r="B92" s="5" t="s">
        <v>93</v>
      </c>
      <c r="C92" s="5" t="s">
        <v>94</v>
      </c>
      <c r="D92" s="5" t="s">
        <v>95</v>
      </c>
      <c r="E92" s="1" t="s">
        <v>55</v>
      </c>
      <c r="F92" s="1" t="s">
        <v>786</v>
      </c>
      <c r="G92" s="1" t="s">
        <v>96</v>
      </c>
      <c r="H92" s="1" t="s">
        <v>54</v>
      </c>
      <c r="I92" s="117">
        <v>313864.7</v>
      </c>
      <c r="J92" s="2" t="s">
        <v>869</v>
      </c>
      <c r="K92" s="2">
        <f>(I92/28)/50*33</f>
        <v>7398.239357142858</v>
      </c>
      <c r="L92" s="40" t="s">
        <v>17</v>
      </c>
      <c r="M92" s="32" t="s">
        <v>432</v>
      </c>
      <c r="N92" s="5" t="s">
        <v>870</v>
      </c>
    </row>
    <row r="93" spans="1:14" ht="112.5">
      <c r="A93" s="5">
        <v>1039740</v>
      </c>
      <c r="B93" s="5" t="s">
        <v>93</v>
      </c>
      <c r="C93" s="5" t="s">
        <v>94</v>
      </c>
      <c r="D93" s="5" t="s">
        <v>871</v>
      </c>
      <c r="E93" s="1" t="s">
        <v>55</v>
      </c>
      <c r="F93" s="1" t="s">
        <v>872</v>
      </c>
      <c r="G93" s="1" t="s">
        <v>873</v>
      </c>
      <c r="H93" s="1" t="s">
        <v>670</v>
      </c>
      <c r="I93" s="117">
        <v>67197.8</v>
      </c>
      <c r="J93" s="2" t="s">
        <v>869</v>
      </c>
      <c r="K93" s="2">
        <f>(I93/28)/12.5*33</f>
        <v>6335.792571428572</v>
      </c>
      <c r="L93" s="40" t="s">
        <v>17</v>
      </c>
      <c r="M93" s="32" t="s">
        <v>432</v>
      </c>
      <c r="N93" s="5" t="s">
        <v>870</v>
      </c>
    </row>
    <row r="94" spans="1:14" ht="112.5">
      <c r="A94" s="5">
        <v>1039741</v>
      </c>
      <c r="B94" s="5" t="s">
        <v>93</v>
      </c>
      <c r="C94" s="5" t="s">
        <v>94</v>
      </c>
      <c r="D94" s="5" t="s">
        <v>874</v>
      </c>
      <c r="E94" s="1" t="s">
        <v>55</v>
      </c>
      <c r="F94" s="1" t="s">
        <v>97</v>
      </c>
      <c r="G94" s="1" t="s">
        <v>875</v>
      </c>
      <c r="H94" s="1" t="s">
        <v>670</v>
      </c>
      <c r="I94" s="117">
        <v>134044.9</v>
      </c>
      <c r="J94" s="2" t="s">
        <v>869</v>
      </c>
      <c r="K94" s="2">
        <f>(I94/28)/25*33</f>
        <v>6319.259571428571</v>
      </c>
      <c r="L94" s="40" t="s">
        <v>17</v>
      </c>
      <c r="M94" s="32" t="s">
        <v>432</v>
      </c>
      <c r="N94" s="5" t="s">
        <v>870</v>
      </c>
    </row>
    <row r="95" spans="1:14" ht="112.5">
      <c r="A95" s="5">
        <v>1039742</v>
      </c>
      <c r="B95" s="5" t="s">
        <v>93</v>
      </c>
      <c r="C95" s="5" t="s">
        <v>94</v>
      </c>
      <c r="D95" s="5" t="s">
        <v>871</v>
      </c>
      <c r="E95" s="1" t="s">
        <v>55</v>
      </c>
      <c r="F95" s="1" t="s">
        <v>876</v>
      </c>
      <c r="G95" s="1" t="s">
        <v>877</v>
      </c>
      <c r="H95" s="1" t="s">
        <v>670</v>
      </c>
      <c r="I95" s="117">
        <v>267421.2</v>
      </c>
      <c r="J95" s="2" t="s">
        <v>869</v>
      </c>
      <c r="K95" s="2">
        <f>(I95/28)/50*33</f>
        <v>6303.499714285714</v>
      </c>
      <c r="L95" s="40" t="s">
        <v>17</v>
      </c>
      <c r="M95" s="32" t="s">
        <v>432</v>
      </c>
      <c r="N95" s="5" t="s">
        <v>870</v>
      </c>
    </row>
    <row r="96" spans="1:14" ht="112.5">
      <c r="A96" s="50" t="s">
        <v>878</v>
      </c>
      <c r="B96" s="50" t="s">
        <v>879</v>
      </c>
      <c r="C96" s="89" t="s">
        <v>94</v>
      </c>
      <c r="D96" s="89" t="s">
        <v>880</v>
      </c>
      <c r="E96" s="94" t="s">
        <v>55</v>
      </c>
      <c r="F96" s="94" t="s">
        <v>881</v>
      </c>
      <c r="G96" s="1" t="s">
        <v>882</v>
      </c>
      <c r="H96" s="1" t="s">
        <v>883</v>
      </c>
      <c r="I96" s="2">
        <v>200565.9</v>
      </c>
      <c r="J96" s="53" t="s">
        <v>869</v>
      </c>
      <c r="K96" s="2">
        <f>(I96/28)/37.5*33</f>
        <v>6303.499714285714</v>
      </c>
      <c r="L96" s="40" t="s">
        <v>17</v>
      </c>
      <c r="M96" s="32" t="s">
        <v>432</v>
      </c>
      <c r="N96" s="5" t="s">
        <v>870</v>
      </c>
    </row>
    <row r="97" spans="1:14" ht="112.5">
      <c r="A97" s="50" t="s">
        <v>884</v>
      </c>
      <c r="B97" s="50" t="s">
        <v>879</v>
      </c>
      <c r="C97" s="89" t="s">
        <v>94</v>
      </c>
      <c r="D97" s="89" t="s">
        <v>880</v>
      </c>
      <c r="E97" s="94" t="s">
        <v>55</v>
      </c>
      <c r="F97" s="94" t="s">
        <v>876</v>
      </c>
      <c r="G97" s="1" t="s">
        <v>882</v>
      </c>
      <c r="H97" s="1" t="s">
        <v>883</v>
      </c>
      <c r="I97" s="2">
        <v>267421.2</v>
      </c>
      <c r="J97" s="53" t="s">
        <v>869</v>
      </c>
      <c r="K97" s="2">
        <f>(I97/28)/50*33</f>
        <v>6303.499714285714</v>
      </c>
      <c r="L97" s="40" t="s">
        <v>17</v>
      </c>
      <c r="M97" s="32" t="s">
        <v>432</v>
      </c>
      <c r="N97" s="5" t="s">
        <v>870</v>
      </c>
    </row>
    <row r="98" spans="1:14" ht="112.5">
      <c r="A98" s="51">
        <v>1039755</v>
      </c>
      <c r="B98" s="50" t="s">
        <v>879</v>
      </c>
      <c r="C98" s="5" t="s">
        <v>94</v>
      </c>
      <c r="D98" s="51" t="s">
        <v>885</v>
      </c>
      <c r="E98" s="1" t="s">
        <v>55</v>
      </c>
      <c r="F98" s="1" t="s">
        <v>872</v>
      </c>
      <c r="G98" s="1" t="s">
        <v>886</v>
      </c>
      <c r="H98" s="1" t="s">
        <v>887</v>
      </c>
      <c r="I98" s="117">
        <v>67197.8</v>
      </c>
      <c r="J98" s="117" t="s">
        <v>869</v>
      </c>
      <c r="K98" s="2">
        <f>(I98/28)/12.5*33</f>
        <v>6335.792571428572</v>
      </c>
      <c r="L98" s="40" t="s">
        <v>17</v>
      </c>
      <c r="M98" s="32" t="s">
        <v>432</v>
      </c>
      <c r="N98" s="5" t="s">
        <v>870</v>
      </c>
    </row>
    <row r="99" spans="1:14" ht="112.5">
      <c r="A99" s="51">
        <v>1039756</v>
      </c>
      <c r="B99" s="50" t="s">
        <v>879</v>
      </c>
      <c r="C99" s="5" t="s">
        <v>94</v>
      </c>
      <c r="D99" s="51" t="s">
        <v>885</v>
      </c>
      <c r="E99" s="1" t="s">
        <v>55</v>
      </c>
      <c r="F99" s="1" t="s">
        <v>97</v>
      </c>
      <c r="G99" s="1" t="s">
        <v>886</v>
      </c>
      <c r="H99" s="1" t="s">
        <v>887</v>
      </c>
      <c r="I99" s="117">
        <v>134044.9</v>
      </c>
      <c r="J99" s="117" t="s">
        <v>869</v>
      </c>
      <c r="K99" s="2">
        <f>(I99/28)/25*33</f>
        <v>6319.259571428571</v>
      </c>
      <c r="L99" s="40" t="s">
        <v>17</v>
      </c>
      <c r="M99" s="32" t="s">
        <v>432</v>
      </c>
      <c r="N99" s="5" t="s">
        <v>870</v>
      </c>
    </row>
    <row r="100" spans="1:14" ht="112.5">
      <c r="A100" s="51">
        <v>1039757</v>
      </c>
      <c r="B100" s="50" t="s">
        <v>879</v>
      </c>
      <c r="C100" s="5" t="s">
        <v>94</v>
      </c>
      <c r="D100" s="51" t="s">
        <v>885</v>
      </c>
      <c r="E100" s="1" t="s">
        <v>55</v>
      </c>
      <c r="F100" s="1" t="s">
        <v>876</v>
      </c>
      <c r="G100" s="1" t="s">
        <v>886</v>
      </c>
      <c r="H100" s="1" t="s">
        <v>887</v>
      </c>
      <c r="I100" s="117">
        <v>267421.2</v>
      </c>
      <c r="J100" s="117" t="s">
        <v>869</v>
      </c>
      <c r="K100" s="2">
        <f>(I100/28)/50*33</f>
        <v>6303.499714285714</v>
      </c>
      <c r="L100" s="40" t="s">
        <v>17</v>
      </c>
      <c r="M100" s="32" t="s">
        <v>432</v>
      </c>
      <c r="N100" s="5" t="s">
        <v>870</v>
      </c>
    </row>
    <row r="101" spans="1:14" ht="180">
      <c r="A101" s="4" t="s">
        <v>300</v>
      </c>
      <c r="B101" s="5" t="s">
        <v>301</v>
      </c>
      <c r="C101" s="5" t="s">
        <v>302</v>
      </c>
      <c r="D101" s="5" t="s">
        <v>303</v>
      </c>
      <c r="E101" s="1" t="s">
        <v>53</v>
      </c>
      <c r="F101" s="1" t="s">
        <v>98</v>
      </c>
      <c r="G101" s="1" t="s">
        <v>374</v>
      </c>
      <c r="H101" s="1" t="s">
        <v>375</v>
      </c>
      <c r="I101" s="21">
        <v>218435.1</v>
      </c>
      <c r="J101" s="2" t="s">
        <v>888</v>
      </c>
      <c r="K101" s="2">
        <f>(I101/112)/200*800</f>
        <v>7801.253571428571</v>
      </c>
      <c r="L101" s="40" t="s">
        <v>17</v>
      </c>
      <c r="M101" s="32" t="s">
        <v>819</v>
      </c>
      <c r="N101" s="5" t="s">
        <v>820</v>
      </c>
    </row>
    <row r="102" spans="1:14" ht="135">
      <c r="A102" s="5">
        <v>1039140</v>
      </c>
      <c r="B102" s="5" t="s">
        <v>301</v>
      </c>
      <c r="C102" s="5" t="s">
        <v>302</v>
      </c>
      <c r="D102" s="5" t="s">
        <v>889</v>
      </c>
      <c r="E102" s="1" t="s">
        <v>53</v>
      </c>
      <c r="F102" s="1" t="s">
        <v>98</v>
      </c>
      <c r="G102" s="1" t="s">
        <v>890</v>
      </c>
      <c r="H102" s="1" t="s">
        <v>891</v>
      </c>
      <c r="I102" s="117">
        <v>178329.5</v>
      </c>
      <c r="J102" s="2" t="s">
        <v>888</v>
      </c>
      <c r="K102" s="2">
        <f>(I102/112)/200*800</f>
        <v>6368.910714285715</v>
      </c>
      <c r="L102" s="40" t="s">
        <v>17</v>
      </c>
      <c r="M102" s="32" t="s">
        <v>892</v>
      </c>
      <c r="N102" s="5" t="s">
        <v>893</v>
      </c>
    </row>
    <row r="103" spans="1:14" ht="135">
      <c r="A103" s="114" t="s">
        <v>894</v>
      </c>
      <c r="B103" s="5" t="s">
        <v>895</v>
      </c>
      <c r="C103" s="115" t="s">
        <v>302</v>
      </c>
      <c r="D103" s="5" t="s">
        <v>896</v>
      </c>
      <c r="E103" s="1" t="s">
        <v>53</v>
      </c>
      <c r="F103" s="1" t="s">
        <v>98</v>
      </c>
      <c r="G103" s="1" t="s">
        <v>897</v>
      </c>
      <c r="H103" s="1" t="s">
        <v>898</v>
      </c>
      <c r="I103" s="117">
        <v>178329.5</v>
      </c>
      <c r="J103" s="2" t="s">
        <v>888</v>
      </c>
      <c r="K103" s="2">
        <f>(I103/112)/200*800</f>
        <v>6368.910714285715</v>
      </c>
      <c r="L103" s="40" t="s">
        <v>17</v>
      </c>
      <c r="M103" s="32" t="s">
        <v>892</v>
      </c>
      <c r="N103" s="5" t="s">
        <v>893</v>
      </c>
    </row>
    <row r="104" spans="1:14" ht="135">
      <c r="A104" s="51">
        <v>1039145</v>
      </c>
      <c r="B104" s="51" t="s">
        <v>895</v>
      </c>
      <c r="C104" s="115" t="s">
        <v>302</v>
      </c>
      <c r="D104" s="51" t="s">
        <v>899</v>
      </c>
      <c r="E104" s="1" t="s">
        <v>53</v>
      </c>
      <c r="F104" s="1" t="s">
        <v>98</v>
      </c>
      <c r="G104" s="1" t="s">
        <v>900</v>
      </c>
      <c r="H104" s="1" t="s">
        <v>898</v>
      </c>
      <c r="I104" s="117">
        <v>178329.5</v>
      </c>
      <c r="J104" s="2" t="s">
        <v>888</v>
      </c>
      <c r="K104" s="2">
        <f>(I104/112)/200*800</f>
        <v>6368.910714285715</v>
      </c>
      <c r="L104" s="40" t="s">
        <v>17</v>
      </c>
      <c r="M104" s="32" t="s">
        <v>892</v>
      </c>
      <c r="N104" s="5" t="s">
        <v>893</v>
      </c>
    </row>
    <row r="105" spans="1:14" ht="123.75">
      <c r="A105" s="4" t="s">
        <v>220</v>
      </c>
      <c r="B105" s="5" t="s">
        <v>99</v>
      </c>
      <c r="C105" s="5" t="s">
        <v>100</v>
      </c>
      <c r="D105" s="5" t="s">
        <v>101</v>
      </c>
      <c r="E105" s="1" t="s">
        <v>53</v>
      </c>
      <c r="F105" s="1" t="s">
        <v>241</v>
      </c>
      <c r="G105" s="1" t="s">
        <v>178</v>
      </c>
      <c r="H105" s="1" t="s">
        <v>179</v>
      </c>
      <c r="I105" s="21">
        <v>123488.6</v>
      </c>
      <c r="J105" s="2" t="s">
        <v>17</v>
      </c>
      <c r="K105" s="2" t="s">
        <v>17</v>
      </c>
      <c r="L105" s="40" t="s">
        <v>17</v>
      </c>
      <c r="M105" s="5" t="s">
        <v>454</v>
      </c>
      <c r="N105" s="5" t="s">
        <v>813</v>
      </c>
    </row>
    <row r="106" spans="1:14" ht="157.5">
      <c r="A106" s="4" t="s">
        <v>221</v>
      </c>
      <c r="B106" s="5" t="s">
        <v>102</v>
      </c>
      <c r="C106" s="5" t="s">
        <v>103</v>
      </c>
      <c r="D106" s="5" t="s">
        <v>104</v>
      </c>
      <c r="E106" s="1" t="s">
        <v>55</v>
      </c>
      <c r="F106" s="1" t="s">
        <v>98</v>
      </c>
      <c r="G106" s="1" t="s">
        <v>105</v>
      </c>
      <c r="H106" s="1" t="s">
        <v>15</v>
      </c>
      <c r="I106" s="21">
        <v>354261.7</v>
      </c>
      <c r="J106" s="2" t="s">
        <v>17</v>
      </c>
      <c r="K106" s="2" t="s">
        <v>17</v>
      </c>
      <c r="L106" s="40" t="s">
        <v>17</v>
      </c>
      <c r="M106" s="5" t="s">
        <v>451</v>
      </c>
      <c r="N106" s="5" t="s">
        <v>901</v>
      </c>
    </row>
    <row r="107" spans="1:14" ht="112.5">
      <c r="A107" s="4" t="s">
        <v>275</v>
      </c>
      <c r="B107" s="5" t="s">
        <v>262</v>
      </c>
      <c r="C107" s="5" t="s">
        <v>263</v>
      </c>
      <c r="D107" s="5" t="s">
        <v>700</v>
      </c>
      <c r="E107" s="1" t="s">
        <v>53</v>
      </c>
      <c r="F107" s="1" t="s">
        <v>264</v>
      </c>
      <c r="G107" s="1" t="s">
        <v>265</v>
      </c>
      <c r="H107" s="1" t="s">
        <v>266</v>
      </c>
      <c r="I107" s="21">
        <v>70376.1</v>
      </c>
      <c r="J107" s="2" t="s">
        <v>17</v>
      </c>
      <c r="K107" s="2" t="s">
        <v>17</v>
      </c>
      <c r="L107" s="40" t="s">
        <v>17</v>
      </c>
      <c r="M107" s="5" t="s">
        <v>432</v>
      </c>
      <c r="N107" s="5" t="s">
        <v>870</v>
      </c>
    </row>
    <row r="108" spans="1:14" ht="112.5">
      <c r="A108" s="4" t="s">
        <v>276</v>
      </c>
      <c r="B108" s="5" t="s">
        <v>262</v>
      </c>
      <c r="C108" s="5" t="s">
        <v>263</v>
      </c>
      <c r="D108" s="5" t="s">
        <v>700</v>
      </c>
      <c r="E108" s="1" t="s">
        <v>53</v>
      </c>
      <c r="F108" s="1" t="s">
        <v>267</v>
      </c>
      <c r="G108" s="1" t="s">
        <v>265</v>
      </c>
      <c r="H108" s="1" t="s">
        <v>266</v>
      </c>
      <c r="I108" s="21">
        <v>281382.3</v>
      </c>
      <c r="J108" s="2" t="s">
        <v>17</v>
      </c>
      <c r="K108" s="2" t="s">
        <v>17</v>
      </c>
      <c r="L108" s="40" t="s">
        <v>17</v>
      </c>
      <c r="M108" s="5" t="s">
        <v>432</v>
      </c>
      <c r="N108" s="5" t="s">
        <v>870</v>
      </c>
    </row>
    <row r="109" spans="1:14" ht="101.25">
      <c r="A109" s="4" t="s">
        <v>277</v>
      </c>
      <c r="B109" s="5" t="s">
        <v>268</v>
      </c>
      <c r="C109" s="5" t="s">
        <v>269</v>
      </c>
      <c r="D109" s="5" t="s">
        <v>701</v>
      </c>
      <c r="E109" s="1" t="s">
        <v>53</v>
      </c>
      <c r="F109" s="1" t="s">
        <v>270</v>
      </c>
      <c r="G109" s="1" t="s">
        <v>271</v>
      </c>
      <c r="H109" s="1" t="s">
        <v>24</v>
      </c>
      <c r="I109" s="21">
        <v>189985.7</v>
      </c>
      <c r="J109" s="2" t="s">
        <v>17</v>
      </c>
      <c r="K109" s="2" t="s">
        <v>17</v>
      </c>
      <c r="L109" s="40" t="s">
        <v>17</v>
      </c>
      <c r="M109" s="5" t="s">
        <v>430</v>
      </c>
      <c r="N109" s="5" t="s">
        <v>793</v>
      </c>
    </row>
    <row r="110" spans="1:14" ht="101.25">
      <c r="A110" s="4" t="s">
        <v>278</v>
      </c>
      <c r="B110" s="5" t="s">
        <v>268</v>
      </c>
      <c r="C110" s="5" t="s">
        <v>269</v>
      </c>
      <c r="D110" s="5" t="s">
        <v>701</v>
      </c>
      <c r="E110" s="1" t="s">
        <v>53</v>
      </c>
      <c r="F110" s="1" t="s">
        <v>272</v>
      </c>
      <c r="G110" s="1" t="s">
        <v>271</v>
      </c>
      <c r="H110" s="1" t="s">
        <v>24</v>
      </c>
      <c r="I110" s="21">
        <v>189985.7</v>
      </c>
      <c r="J110" s="2" t="s">
        <v>17</v>
      </c>
      <c r="K110" s="2" t="s">
        <v>17</v>
      </c>
      <c r="L110" s="40" t="s">
        <v>17</v>
      </c>
      <c r="M110" s="5" t="s">
        <v>430</v>
      </c>
      <c r="N110" s="5" t="s">
        <v>794</v>
      </c>
    </row>
    <row r="111" spans="1:14" ht="101.25">
      <c r="A111" s="4">
        <v>1039278</v>
      </c>
      <c r="B111" s="5" t="s">
        <v>268</v>
      </c>
      <c r="C111" s="5" t="s">
        <v>269</v>
      </c>
      <c r="D111" s="5" t="s">
        <v>701</v>
      </c>
      <c r="E111" s="1" t="s">
        <v>53</v>
      </c>
      <c r="F111" s="1" t="s">
        <v>273</v>
      </c>
      <c r="G111" s="1" t="s">
        <v>271</v>
      </c>
      <c r="H111" s="1" t="s">
        <v>24</v>
      </c>
      <c r="I111" s="21">
        <v>189985.7</v>
      </c>
      <c r="J111" s="2" t="s">
        <v>17</v>
      </c>
      <c r="K111" s="2" t="s">
        <v>17</v>
      </c>
      <c r="L111" s="40" t="s">
        <v>17</v>
      </c>
      <c r="M111" s="5" t="s">
        <v>430</v>
      </c>
      <c r="N111" s="5" t="s">
        <v>794</v>
      </c>
    </row>
    <row r="112" spans="1:14" ht="90">
      <c r="A112" s="104">
        <v>1039256</v>
      </c>
      <c r="B112" s="102" t="s">
        <v>727</v>
      </c>
      <c r="C112" s="61" t="s">
        <v>728</v>
      </c>
      <c r="D112" s="61" t="s">
        <v>729</v>
      </c>
      <c r="E112" s="67" t="s">
        <v>53</v>
      </c>
      <c r="F112" s="67" t="s">
        <v>730</v>
      </c>
      <c r="G112" s="67" t="s">
        <v>731</v>
      </c>
      <c r="H112" s="67" t="s">
        <v>24</v>
      </c>
      <c r="I112" s="71">
        <v>68720.6</v>
      </c>
      <c r="J112" s="112" t="s">
        <v>17</v>
      </c>
      <c r="K112" s="112" t="s">
        <v>17</v>
      </c>
      <c r="L112" s="112" t="s">
        <v>17</v>
      </c>
      <c r="M112" s="61" t="s">
        <v>732</v>
      </c>
      <c r="N112" s="5" t="s">
        <v>804</v>
      </c>
    </row>
    <row r="113" spans="1:14" ht="90">
      <c r="A113" s="104">
        <v>1039258</v>
      </c>
      <c r="B113" s="102" t="s">
        <v>727</v>
      </c>
      <c r="C113" s="61" t="s">
        <v>728</v>
      </c>
      <c r="D113" s="61" t="s">
        <v>729</v>
      </c>
      <c r="E113" s="67" t="s">
        <v>53</v>
      </c>
      <c r="F113" s="67" t="s">
        <v>733</v>
      </c>
      <c r="G113" s="67" t="s">
        <v>731</v>
      </c>
      <c r="H113" s="67" t="s">
        <v>24</v>
      </c>
      <c r="I113" s="71">
        <v>342810.3</v>
      </c>
      <c r="J113" s="112" t="s">
        <v>17</v>
      </c>
      <c r="K113" s="112" t="s">
        <v>17</v>
      </c>
      <c r="L113" s="112" t="s">
        <v>17</v>
      </c>
      <c r="M113" s="61" t="s">
        <v>732</v>
      </c>
      <c r="N113" s="5" t="s">
        <v>804</v>
      </c>
    </row>
    <row r="114" spans="1:14" ht="112.5">
      <c r="A114" s="4" t="s">
        <v>307</v>
      </c>
      <c r="B114" s="5" t="s">
        <v>308</v>
      </c>
      <c r="C114" s="5" t="s">
        <v>309</v>
      </c>
      <c r="D114" s="5" t="s">
        <v>310</v>
      </c>
      <c r="E114" s="1" t="s">
        <v>242</v>
      </c>
      <c r="F114" s="1" t="s">
        <v>311</v>
      </c>
      <c r="G114" s="1" t="s">
        <v>105</v>
      </c>
      <c r="H114" s="1" t="s">
        <v>15</v>
      </c>
      <c r="I114" s="21">
        <v>185874.4</v>
      </c>
      <c r="J114" s="2" t="s">
        <v>17</v>
      </c>
      <c r="K114" s="2" t="s">
        <v>17</v>
      </c>
      <c r="L114" s="40" t="s">
        <v>17</v>
      </c>
      <c r="M114" s="5" t="s">
        <v>527</v>
      </c>
      <c r="N114" s="5" t="s">
        <v>902</v>
      </c>
    </row>
    <row r="115" spans="1:14" ht="112.5">
      <c r="A115" s="4" t="s">
        <v>312</v>
      </c>
      <c r="B115" s="5" t="s">
        <v>308</v>
      </c>
      <c r="C115" s="5" t="s">
        <v>309</v>
      </c>
      <c r="D115" s="5" t="s">
        <v>310</v>
      </c>
      <c r="E115" s="1" t="s">
        <v>242</v>
      </c>
      <c r="F115" s="1" t="s">
        <v>313</v>
      </c>
      <c r="G115" s="1" t="s">
        <v>105</v>
      </c>
      <c r="H115" s="1" t="s">
        <v>15</v>
      </c>
      <c r="I115" s="21">
        <v>370840.8</v>
      </c>
      <c r="J115" s="2" t="s">
        <v>17</v>
      </c>
      <c r="K115" s="2" t="s">
        <v>17</v>
      </c>
      <c r="L115" s="40" t="s">
        <v>17</v>
      </c>
      <c r="M115" s="5" t="s">
        <v>527</v>
      </c>
      <c r="N115" s="5" t="s">
        <v>902</v>
      </c>
    </row>
    <row r="116" spans="1:14" ht="112.5">
      <c r="A116" s="4" t="s">
        <v>314</v>
      </c>
      <c r="B116" s="5" t="s">
        <v>308</v>
      </c>
      <c r="C116" s="5" t="s">
        <v>309</v>
      </c>
      <c r="D116" s="5" t="s">
        <v>310</v>
      </c>
      <c r="E116" s="1" t="s">
        <v>242</v>
      </c>
      <c r="F116" s="1" t="s">
        <v>315</v>
      </c>
      <c r="G116" s="1" t="s">
        <v>105</v>
      </c>
      <c r="H116" s="1" t="s">
        <v>15</v>
      </c>
      <c r="I116" s="21">
        <v>370840.8</v>
      </c>
      <c r="J116" s="2" t="s">
        <v>17</v>
      </c>
      <c r="K116" s="2" t="s">
        <v>17</v>
      </c>
      <c r="L116" s="40" t="s">
        <v>17</v>
      </c>
      <c r="M116" s="5" t="s">
        <v>527</v>
      </c>
      <c r="N116" s="5" t="s">
        <v>902</v>
      </c>
    </row>
    <row r="117" spans="1:14" ht="191.25" customHeight="1">
      <c r="A117" s="66" t="s">
        <v>571</v>
      </c>
      <c r="B117" s="61" t="s">
        <v>572</v>
      </c>
      <c r="C117" s="61" t="s">
        <v>573</v>
      </c>
      <c r="D117" s="61" t="s">
        <v>574</v>
      </c>
      <c r="E117" s="67" t="s">
        <v>55</v>
      </c>
      <c r="F117" s="67" t="s">
        <v>575</v>
      </c>
      <c r="G117" s="1" t="s">
        <v>966</v>
      </c>
      <c r="H117" s="1" t="s">
        <v>967</v>
      </c>
      <c r="I117" s="71">
        <v>560289.2</v>
      </c>
      <c r="J117" s="70" t="s">
        <v>17</v>
      </c>
      <c r="K117" s="71" t="s">
        <v>17</v>
      </c>
      <c r="L117" s="70" t="s">
        <v>17</v>
      </c>
      <c r="M117" s="5" t="s">
        <v>968</v>
      </c>
      <c r="N117" s="5" t="s">
        <v>969</v>
      </c>
    </row>
    <row r="118" spans="1:14" ht="194.25" customHeight="1">
      <c r="A118" s="66">
        <v>1039658</v>
      </c>
      <c r="B118" s="61" t="s">
        <v>576</v>
      </c>
      <c r="C118" s="61" t="s">
        <v>577</v>
      </c>
      <c r="D118" s="61" t="s">
        <v>578</v>
      </c>
      <c r="E118" s="67" t="s">
        <v>53</v>
      </c>
      <c r="F118" s="67" t="s">
        <v>579</v>
      </c>
      <c r="G118" s="1" t="s">
        <v>970</v>
      </c>
      <c r="H118" s="1" t="s">
        <v>523</v>
      </c>
      <c r="I118" s="21">
        <v>411707.2</v>
      </c>
      <c r="J118" s="70" t="s">
        <v>17</v>
      </c>
      <c r="K118" s="71" t="s">
        <v>17</v>
      </c>
      <c r="L118" s="70" t="s">
        <v>17</v>
      </c>
      <c r="M118" s="55" t="s">
        <v>971</v>
      </c>
      <c r="N118" s="5" t="s">
        <v>969</v>
      </c>
    </row>
    <row r="119" spans="1:14" ht="90">
      <c r="A119" s="104" t="s">
        <v>734</v>
      </c>
      <c r="B119" s="102" t="s">
        <v>735</v>
      </c>
      <c r="C119" s="102" t="s">
        <v>736</v>
      </c>
      <c r="D119" s="102" t="s">
        <v>737</v>
      </c>
      <c r="E119" s="70" t="s">
        <v>53</v>
      </c>
      <c r="F119" s="67" t="s">
        <v>738</v>
      </c>
      <c r="G119" s="67" t="s">
        <v>739</v>
      </c>
      <c r="H119" s="67" t="s">
        <v>740</v>
      </c>
      <c r="I119" s="71">
        <v>545440.9</v>
      </c>
      <c r="J119" s="112" t="s">
        <v>17</v>
      </c>
      <c r="K119" s="112" t="s">
        <v>17</v>
      </c>
      <c r="L119" s="112" t="s">
        <v>17</v>
      </c>
      <c r="M119" s="61" t="s">
        <v>732</v>
      </c>
      <c r="N119" s="5" t="s">
        <v>804</v>
      </c>
    </row>
    <row r="120" spans="1:14" ht="90">
      <c r="A120" s="104" t="s">
        <v>741</v>
      </c>
      <c r="B120" s="102" t="s">
        <v>735</v>
      </c>
      <c r="C120" s="102" t="s">
        <v>736</v>
      </c>
      <c r="D120" s="102" t="s">
        <v>737</v>
      </c>
      <c r="E120" s="70" t="s">
        <v>53</v>
      </c>
      <c r="F120" s="67" t="s">
        <v>742</v>
      </c>
      <c r="G120" s="67" t="s">
        <v>739</v>
      </c>
      <c r="H120" s="67" t="s">
        <v>740</v>
      </c>
      <c r="I120" s="71">
        <v>545440.9</v>
      </c>
      <c r="J120" s="112" t="s">
        <v>17</v>
      </c>
      <c r="K120" s="112" t="s">
        <v>17</v>
      </c>
      <c r="L120" s="112" t="s">
        <v>17</v>
      </c>
      <c r="M120" s="61" t="s">
        <v>732</v>
      </c>
      <c r="N120" s="5" t="s">
        <v>804</v>
      </c>
    </row>
    <row r="121" spans="1:14" ht="90">
      <c r="A121" s="104" t="s">
        <v>743</v>
      </c>
      <c r="B121" s="102" t="s">
        <v>735</v>
      </c>
      <c r="C121" s="102" t="s">
        <v>736</v>
      </c>
      <c r="D121" s="102" t="s">
        <v>737</v>
      </c>
      <c r="E121" s="70" t="s">
        <v>53</v>
      </c>
      <c r="F121" s="67" t="s">
        <v>744</v>
      </c>
      <c r="G121" s="67" t="s">
        <v>739</v>
      </c>
      <c r="H121" s="67" t="s">
        <v>740</v>
      </c>
      <c r="I121" s="71">
        <v>545440.9</v>
      </c>
      <c r="J121" s="112" t="s">
        <v>17</v>
      </c>
      <c r="K121" s="112" t="s">
        <v>17</v>
      </c>
      <c r="L121" s="112" t="s">
        <v>17</v>
      </c>
      <c r="M121" s="61" t="s">
        <v>732</v>
      </c>
      <c r="N121" s="5" t="s">
        <v>804</v>
      </c>
    </row>
    <row r="122" spans="1:14" ht="157.5">
      <c r="A122" s="104" t="s">
        <v>751</v>
      </c>
      <c r="B122" s="102" t="s">
        <v>745</v>
      </c>
      <c r="C122" s="61" t="s">
        <v>746</v>
      </c>
      <c r="D122" s="61" t="s">
        <v>747</v>
      </c>
      <c r="E122" s="67" t="s">
        <v>55</v>
      </c>
      <c r="F122" s="105" t="s">
        <v>748</v>
      </c>
      <c r="G122" s="105" t="s">
        <v>482</v>
      </c>
      <c r="H122" s="105" t="s">
        <v>24</v>
      </c>
      <c r="I122" s="71">
        <v>233241.2</v>
      </c>
      <c r="J122" s="78" t="s">
        <v>17</v>
      </c>
      <c r="K122" s="71" t="s">
        <v>17</v>
      </c>
      <c r="L122" s="78" t="s">
        <v>17</v>
      </c>
      <c r="M122" s="106" t="s">
        <v>808</v>
      </c>
      <c r="N122" s="107" t="s">
        <v>806</v>
      </c>
    </row>
    <row r="123" spans="1:14" ht="157.5">
      <c r="A123" s="104" t="s">
        <v>752</v>
      </c>
      <c r="B123" s="102" t="s">
        <v>745</v>
      </c>
      <c r="C123" s="61" t="s">
        <v>746</v>
      </c>
      <c r="D123" s="61" t="s">
        <v>747</v>
      </c>
      <c r="E123" s="67" t="s">
        <v>55</v>
      </c>
      <c r="F123" s="105" t="s">
        <v>749</v>
      </c>
      <c r="G123" s="105" t="s">
        <v>482</v>
      </c>
      <c r="H123" s="105" t="s">
        <v>24</v>
      </c>
      <c r="I123" s="71">
        <v>233241.2</v>
      </c>
      <c r="J123" s="78" t="s">
        <v>17</v>
      </c>
      <c r="K123" s="71" t="s">
        <v>17</v>
      </c>
      <c r="L123" s="78" t="s">
        <v>17</v>
      </c>
      <c r="M123" s="106" t="s">
        <v>808</v>
      </c>
      <c r="N123" s="107" t="s">
        <v>806</v>
      </c>
    </row>
    <row r="124" spans="1:14" ht="157.5">
      <c r="A124" s="104" t="s">
        <v>753</v>
      </c>
      <c r="B124" s="102" t="s">
        <v>745</v>
      </c>
      <c r="C124" s="61" t="s">
        <v>746</v>
      </c>
      <c r="D124" s="61" t="s">
        <v>747</v>
      </c>
      <c r="E124" s="67" t="s">
        <v>55</v>
      </c>
      <c r="F124" s="105" t="s">
        <v>750</v>
      </c>
      <c r="G124" s="105" t="s">
        <v>482</v>
      </c>
      <c r="H124" s="105" t="s">
        <v>24</v>
      </c>
      <c r="I124" s="71">
        <v>233241.2</v>
      </c>
      <c r="J124" s="78" t="s">
        <v>17</v>
      </c>
      <c r="K124" s="71" t="s">
        <v>17</v>
      </c>
      <c r="L124" s="78" t="s">
        <v>17</v>
      </c>
      <c r="M124" s="106" t="s">
        <v>808</v>
      </c>
      <c r="N124" s="107" t="s">
        <v>806</v>
      </c>
    </row>
    <row r="125" spans="1:14" ht="101.25">
      <c r="A125" s="66" t="s">
        <v>585</v>
      </c>
      <c r="B125" s="61" t="s">
        <v>586</v>
      </c>
      <c r="C125" s="61" t="s">
        <v>587</v>
      </c>
      <c r="D125" s="61" t="s">
        <v>588</v>
      </c>
      <c r="E125" s="67" t="s">
        <v>55</v>
      </c>
      <c r="F125" s="67" t="s">
        <v>589</v>
      </c>
      <c r="G125" s="67" t="s">
        <v>569</v>
      </c>
      <c r="H125" s="67" t="s">
        <v>385</v>
      </c>
      <c r="I125" s="71">
        <v>497084.7</v>
      </c>
      <c r="J125" s="70" t="s">
        <v>17</v>
      </c>
      <c r="K125" s="71" t="s">
        <v>17</v>
      </c>
      <c r="L125" s="70" t="s">
        <v>17</v>
      </c>
      <c r="M125" s="61" t="s">
        <v>590</v>
      </c>
      <c r="N125" s="85" t="s">
        <v>794</v>
      </c>
    </row>
    <row r="126" spans="1:14" ht="168.75">
      <c r="A126" s="5">
        <v>1039502</v>
      </c>
      <c r="B126" s="5" t="s">
        <v>754</v>
      </c>
      <c r="C126" s="5" t="s">
        <v>755</v>
      </c>
      <c r="D126" s="5" t="s">
        <v>756</v>
      </c>
      <c r="E126" s="1" t="s">
        <v>53</v>
      </c>
      <c r="F126" s="1" t="s">
        <v>757</v>
      </c>
      <c r="G126" s="1" t="s">
        <v>758</v>
      </c>
      <c r="H126" s="1" t="s">
        <v>759</v>
      </c>
      <c r="I126" s="21">
        <v>219523.9</v>
      </c>
      <c r="J126" s="2" t="s">
        <v>17</v>
      </c>
      <c r="K126" s="2" t="s">
        <v>17</v>
      </c>
      <c r="L126" s="2" t="s">
        <v>17</v>
      </c>
      <c r="M126" s="5" t="s">
        <v>809</v>
      </c>
      <c r="N126" s="5" t="s">
        <v>807</v>
      </c>
    </row>
    <row r="127" spans="1:14" ht="101.25">
      <c r="A127" s="102">
        <v>1039300</v>
      </c>
      <c r="B127" s="102" t="s">
        <v>760</v>
      </c>
      <c r="C127" s="103" t="s">
        <v>761</v>
      </c>
      <c r="D127" s="102" t="s">
        <v>762</v>
      </c>
      <c r="E127" s="108" t="s">
        <v>53</v>
      </c>
      <c r="F127" s="108" t="s">
        <v>814</v>
      </c>
      <c r="G127" s="1" t="s">
        <v>903</v>
      </c>
      <c r="H127" s="1" t="s">
        <v>19</v>
      </c>
      <c r="I127" s="71">
        <v>261996.3</v>
      </c>
      <c r="J127" s="78" t="s">
        <v>17</v>
      </c>
      <c r="K127" s="78" t="s">
        <v>17</v>
      </c>
      <c r="L127" s="78" t="s">
        <v>17</v>
      </c>
      <c r="M127" s="109" t="s">
        <v>590</v>
      </c>
      <c r="N127" s="110" t="s">
        <v>794</v>
      </c>
    </row>
    <row r="128" spans="1:14" ht="168.75">
      <c r="A128" s="4">
        <v>1069140</v>
      </c>
      <c r="B128" s="5" t="s">
        <v>106</v>
      </c>
      <c r="C128" s="5" t="s">
        <v>107</v>
      </c>
      <c r="D128" s="5" t="s">
        <v>108</v>
      </c>
      <c r="E128" s="1" t="s">
        <v>180</v>
      </c>
      <c r="F128" s="1" t="s">
        <v>181</v>
      </c>
      <c r="G128" s="1" t="s">
        <v>109</v>
      </c>
      <c r="H128" s="1" t="s">
        <v>110</v>
      </c>
      <c r="I128" s="21">
        <v>30206.2</v>
      </c>
      <c r="J128" s="2" t="s">
        <v>17</v>
      </c>
      <c r="K128" s="2" t="s">
        <v>17</v>
      </c>
      <c r="L128" s="40" t="s">
        <v>17</v>
      </c>
      <c r="M128" s="5" t="s">
        <v>433</v>
      </c>
      <c r="N128" s="5" t="s">
        <v>904</v>
      </c>
    </row>
    <row r="129" spans="1:14" ht="270">
      <c r="A129" s="88" t="s">
        <v>763</v>
      </c>
      <c r="B129" s="89" t="s">
        <v>515</v>
      </c>
      <c r="C129" s="5" t="s">
        <v>516</v>
      </c>
      <c r="D129" s="5" t="s">
        <v>517</v>
      </c>
      <c r="E129" s="94" t="s">
        <v>53</v>
      </c>
      <c r="F129" s="1" t="s">
        <v>764</v>
      </c>
      <c r="G129" s="1" t="s">
        <v>765</v>
      </c>
      <c r="H129" s="1" t="s">
        <v>766</v>
      </c>
      <c r="I129" s="21">
        <v>253067</v>
      </c>
      <c r="J129" s="53" t="s">
        <v>17</v>
      </c>
      <c r="K129" s="53" t="s">
        <v>17</v>
      </c>
      <c r="L129" s="53" t="s">
        <v>17</v>
      </c>
      <c r="M129" s="5" t="s">
        <v>975</v>
      </c>
      <c r="N129" s="5" t="s">
        <v>976</v>
      </c>
    </row>
    <row r="130" spans="1:14" ht="270">
      <c r="A130" s="88" t="s">
        <v>767</v>
      </c>
      <c r="B130" s="89" t="s">
        <v>515</v>
      </c>
      <c r="C130" s="5" t="s">
        <v>516</v>
      </c>
      <c r="D130" s="5" t="s">
        <v>517</v>
      </c>
      <c r="E130" s="94" t="s">
        <v>53</v>
      </c>
      <c r="F130" s="1" t="s">
        <v>768</v>
      </c>
      <c r="G130" s="1" t="s">
        <v>765</v>
      </c>
      <c r="H130" s="1" t="s">
        <v>766</v>
      </c>
      <c r="I130" s="21">
        <v>253067</v>
      </c>
      <c r="J130" s="53" t="s">
        <v>17</v>
      </c>
      <c r="K130" s="53" t="s">
        <v>17</v>
      </c>
      <c r="L130" s="53" t="s">
        <v>17</v>
      </c>
      <c r="M130" s="5" t="s">
        <v>975</v>
      </c>
      <c r="N130" s="5" t="s">
        <v>976</v>
      </c>
    </row>
    <row r="131" spans="1:14" s="43" customFormat="1" ht="112.5">
      <c r="A131" s="13" t="s">
        <v>316</v>
      </c>
      <c r="B131" s="14" t="s">
        <v>317</v>
      </c>
      <c r="C131" s="15" t="s">
        <v>318</v>
      </c>
      <c r="D131" s="15" t="s">
        <v>319</v>
      </c>
      <c r="E131" s="16" t="s">
        <v>320</v>
      </c>
      <c r="F131" s="16" t="s">
        <v>321</v>
      </c>
      <c r="G131" s="16" t="s">
        <v>322</v>
      </c>
      <c r="H131" s="16" t="s">
        <v>40</v>
      </c>
      <c r="I131" s="21">
        <v>294899.7</v>
      </c>
      <c r="J131" s="2" t="s">
        <v>323</v>
      </c>
      <c r="K131" s="2">
        <f>I131/112/40*160</f>
        <v>10532.132142857143</v>
      </c>
      <c r="L131" s="40" t="s">
        <v>17</v>
      </c>
      <c r="M131" s="33" t="s">
        <v>595</v>
      </c>
      <c r="N131" s="5" t="s">
        <v>810</v>
      </c>
    </row>
    <row r="132" spans="1:14" s="43" customFormat="1" ht="112.5">
      <c r="A132" s="13" t="s">
        <v>324</v>
      </c>
      <c r="B132" s="14" t="s">
        <v>325</v>
      </c>
      <c r="C132" s="15" t="s">
        <v>326</v>
      </c>
      <c r="D132" s="15" t="s">
        <v>327</v>
      </c>
      <c r="E132" s="16" t="s">
        <v>242</v>
      </c>
      <c r="F132" s="16" t="s">
        <v>328</v>
      </c>
      <c r="G132" s="16" t="s">
        <v>329</v>
      </c>
      <c r="H132" s="16" t="s">
        <v>54</v>
      </c>
      <c r="I132" s="21">
        <v>341994.2</v>
      </c>
      <c r="J132" s="2" t="s">
        <v>330</v>
      </c>
      <c r="K132" s="2">
        <f>I132/120/250*1000</f>
        <v>11399.806666666667</v>
      </c>
      <c r="L132" s="40" t="s">
        <v>17</v>
      </c>
      <c r="M132" s="33" t="s">
        <v>596</v>
      </c>
      <c r="N132" s="5" t="s">
        <v>811</v>
      </c>
    </row>
    <row r="133" spans="1:14" s="43" customFormat="1" ht="112.5">
      <c r="A133" s="51">
        <v>1039760</v>
      </c>
      <c r="B133" s="51" t="s">
        <v>325</v>
      </c>
      <c r="C133" s="5" t="s">
        <v>326</v>
      </c>
      <c r="D133" s="5" t="s">
        <v>905</v>
      </c>
      <c r="E133" s="1" t="s">
        <v>242</v>
      </c>
      <c r="F133" s="1" t="s">
        <v>906</v>
      </c>
      <c r="G133" s="1" t="s">
        <v>907</v>
      </c>
      <c r="H133" s="1" t="s">
        <v>908</v>
      </c>
      <c r="I133" s="2">
        <v>239395.9</v>
      </c>
      <c r="J133" s="118" t="s">
        <v>330</v>
      </c>
      <c r="K133" s="2">
        <f>I133/120/250*1000</f>
        <v>7979.863333333333</v>
      </c>
      <c r="L133" s="40" t="s">
        <v>17</v>
      </c>
      <c r="M133" s="33" t="s">
        <v>596</v>
      </c>
      <c r="N133" s="5" t="s">
        <v>811</v>
      </c>
    </row>
    <row r="134" spans="1:14" s="43" customFormat="1" ht="112.5">
      <c r="A134" s="51">
        <v>1039761</v>
      </c>
      <c r="B134" s="51" t="s">
        <v>325</v>
      </c>
      <c r="C134" s="5" t="s">
        <v>326</v>
      </c>
      <c r="D134" s="5" t="s">
        <v>905</v>
      </c>
      <c r="E134" s="1" t="s">
        <v>53</v>
      </c>
      <c r="F134" s="1" t="s">
        <v>909</v>
      </c>
      <c r="G134" s="1" t="s">
        <v>907</v>
      </c>
      <c r="H134" s="1" t="s">
        <v>908</v>
      </c>
      <c r="I134" s="21">
        <v>162809.8</v>
      </c>
      <c r="J134" s="118" t="s">
        <v>330</v>
      </c>
      <c r="K134" s="2">
        <f>I134/60/500*1000</f>
        <v>5426.993333333333</v>
      </c>
      <c r="L134" s="40" t="s">
        <v>17</v>
      </c>
      <c r="M134" s="33" t="s">
        <v>596</v>
      </c>
      <c r="N134" s="5" t="s">
        <v>811</v>
      </c>
    </row>
    <row r="135" spans="1:14" ht="45">
      <c r="A135" s="4" t="s">
        <v>222</v>
      </c>
      <c r="B135" s="5" t="s">
        <v>112</v>
      </c>
      <c r="C135" s="5" t="s">
        <v>113</v>
      </c>
      <c r="D135" s="5" t="s">
        <v>114</v>
      </c>
      <c r="E135" s="1" t="s">
        <v>18</v>
      </c>
      <c r="F135" s="1" t="s">
        <v>115</v>
      </c>
      <c r="G135" s="1" t="s">
        <v>384</v>
      </c>
      <c r="H135" s="1" t="s">
        <v>385</v>
      </c>
      <c r="I135" s="21">
        <v>87681.3</v>
      </c>
      <c r="J135" s="1" t="s">
        <v>17</v>
      </c>
      <c r="K135" s="2" t="s">
        <v>17</v>
      </c>
      <c r="L135" s="38" t="s">
        <v>17</v>
      </c>
      <c r="M135" s="5" t="s">
        <v>434</v>
      </c>
      <c r="N135" s="5" t="s">
        <v>435</v>
      </c>
    </row>
    <row r="136" spans="1:14" ht="45">
      <c r="A136" s="4" t="s">
        <v>223</v>
      </c>
      <c r="B136" s="5" t="s">
        <v>112</v>
      </c>
      <c r="C136" s="5" t="s">
        <v>116</v>
      </c>
      <c r="D136" s="5" t="s">
        <v>114</v>
      </c>
      <c r="E136" s="1" t="s">
        <v>18</v>
      </c>
      <c r="F136" s="1" t="s">
        <v>117</v>
      </c>
      <c r="G136" s="1" t="s">
        <v>384</v>
      </c>
      <c r="H136" s="1" t="s">
        <v>385</v>
      </c>
      <c r="I136" s="21">
        <v>60639</v>
      </c>
      <c r="J136" s="1" t="s">
        <v>17</v>
      </c>
      <c r="K136" s="2" t="s">
        <v>17</v>
      </c>
      <c r="L136" s="38" t="s">
        <v>17</v>
      </c>
      <c r="M136" s="5" t="s">
        <v>434</v>
      </c>
      <c r="N136" s="5" t="s">
        <v>435</v>
      </c>
    </row>
    <row r="137" spans="1:14" ht="67.5">
      <c r="A137" s="4" t="s">
        <v>224</v>
      </c>
      <c r="B137" s="5" t="s">
        <v>112</v>
      </c>
      <c r="C137" s="5" t="s">
        <v>113</v>
      </c>
      <c r="D137" s="5" t="s">
        <v>118</v>
      </c>
      <c r="E137" s="1" t="s">
        <v>18</v>
      </c>
      <c r="F137" s="1" t="s">
        <v>119</v>
      </c>
      <c r="G137" s="1" t="s">
        <v>910</v>
      </c>
      <c r="H137" s="1" t="s">
        <v>911</v>
      </c>
      <c r="I137" s="21">
        <v>71114.5</v>
      </c>
      <c r="J137" s="1" t="s">
        <v>120</v>
      </c>
      <c r="K137" s="2">
        <f>I137/4/30*4.3</f>
        <v>2548.269583333333</v>
      </c>
      <c r="L137" s="38" t="s">
        <v>17</v>
      </c>
      <c r="M137" s="5" t="s">
        <v>434</v>
      </c>
      <c r="N137" s="5" t="s">
        <v>435</v>
      </c>
    </row>
    <row r="138" spans="1:14" ht="56.25">
      <c r="A138" s="4" t="s">
        <v>225</v>
      </c>
      <c r="B138" s="5" t="s">
        <v>121</v>
      </c>
      <c r="C138" s="5" t="s">
        <v>122</v>
      </c>
      <c r="D138" s="5" t="s">
        <v>123</v>
      </c>
      <c r="E138" s="1" t="s">
        <v>124</v>
      </c>
      <c r="F138" s="1" t="s">
        <v>125</v>
      </c>
      <c r="G138" s="1" t="s">
        <v>376</v>
      </c>
      <c r="H138" s="1" t="s">
        <v>24</v>
      </c>
      <c r="I138" s="21">
        <v>54979.7</v>
      </c>
      <c r="J138" s="1" t="s">
        <v>126</v>
      </c>
      <c r="K138" s="2">
        <f>I138/15/9600000*4000000</f>
        <v>1527.213888888889</v>
      </c>
      <c r="L138" s="38" t="s">
        <v>17</v>
      </c>
      <c r="M138" s="5" t="s">
        <v>434</v>
      </c>
      <c r="N138" s="5" t="s">
        <v>435</v>
      </c>
    </row>
    <row r="139" spans="1:14" ht="315">
      <c r="A139" s="4" t="s">
        <v>226</v>
      </c>
      <c r="B139" s="5" t="s">
        <v>128</v>
      </c>
      <c r="C139" s="5" t="s">
        <v>129</v>
      </c>
      <c r="D139" s="5" t="s">
        <v>130</v>
      </c>
      <c r="E139" s="1" t="s">
        <v>18</v>
      </c>
      <c r="F139" s="1" t="s">
        <v>132</v>
      </c>
      <c r="G139" s="1" t="s">
        <v>50</v>
      </c>
      <c r="H139" s="1" t="s">
        <v>15</v>
      </c>
      <c r="I139" s="21">
        <v>15787.1</v>
      </c>
      <c r="J139" s="2" t="s">
        <v>131</v>
      </c>
      <c r="K139" s="2">
        <f>I139/180*26</f>
        <v>2280.358888888889</v>
      </c>
      <c r="L139" s="38" t="s">
        <v>17</v>
      </c>
      <c r="M139" s="5" t="s">
        <v>815</v>
      </c>
      <c r="N139" s="5" t="s">
        <v>436</v>
      </c>
    </row>
    <row r="140" spans="1:14" ht="90">
      <c r="A140" s="4" t="s">
        <v>338</v>
      </c>
      <c r="B140" s="5" t="s">
        <v>134</v>
      </c>
      <c r="C140" s="5" t="s">
        <v>135</v>
      </c>
      <c r="D140" s="5" t="s">
        <v>136</v>
      </c>
      <c r="E140" s="3" t="s">
        <v>339</v>
      </c>
      <c r="F140" s="1" t="s">
        <v>370</v>
      </c>
      <c r="G140" s="1" t="s">
        <v>387</v>
      </c>
      <c r="H140" s="1" t="s">
        <v>386</v>
      </c>
      <c r="I140" s="21">
        <v>52218.5</v>
      </c>
      <c r="J140" s="1" t="s">
        <v>137</v>
      </c>
      <c r="K140" s="2">
        <f>I140/12/40*20</f>
        <v>2175.7708333333335</v>
      </c>
      <c r="L140" s="38" t="s">
        <v>17</v>
      </c>
      <c r="M140" s="5" t="s">
        <v>437</v>
      </c>
      <c r="N140" s="5" t="s">
        <v>435</v>
      </c>
    </row>
    <row r="141" spans="1:14" ht="33.75">
      <c r="A141" s="4" t="s">
        <v>468</v>
      </c>
      <c r="B141" s="5" t="s">
        <v>134</v>
      </c>
      <c r="C141" s="5" t="s">
        <v>359</v>
      </c>
      <c r="D141" s="5" t="s">
        <v>360</v>
      </c>
      <c r="E141" s="1" t="s">
        <v>18</v>
      </c>
      <c r="F141" s="1" t="s">
        <v>370</v>
      </c>
      <c r="G141" s="1" t="s">
        <v>469</v>
      </c>
      <c r="H141" s="1" t="s">
        <v>361</v>
      </c>
      <c r="I141" s="21">
        <v>51489.8</v>
      </c>
      <c r="J141" s="1" t="s">
        <v>137</v>
      </c>
      <c r="K141" s="2">
        <f>I141/12/40*20</f>
        <v>2145.4083333333333</v>
      </c>
      <c r="L141" s="38" t="s">
        <v>17</v>
      </c>
      <c r="M141" s="5" t="s">
        <v>438</v>
      </c>
      <c r="N141" s="5" t="s">
        <v>435</v>
      </c>
    </row>
    <row r="142" spans="1:14" ht="112.5">
      <c r="A142" s="4" t="s">
        <v>331</v>
      </c>
      <c r="B142" s="5" t="s">
        <v>332</v>
      </c>
      <c r="C142" s="5" t="s">
        <v>333</v>
      </c>
      <c r="D142" s="5" t="s">
        <v>334</v>
      </c>
      <c r="E142" s="3" t="s">
        <v>27</v>
      </c>
      <c r="F142" s="1" t="s">
        <v>335</v>
      </c>
      <c r="G142" s="1" t="s">
        <v>336</v>
      </c>
      <c r="H142" s="1" t="s">
        <v>86</v>
      </c>
      <c r="I142" s="21">
        <v>645919</v>
      </c>
      <c r="J142" s="1" t="s">
        <v>453</v>
      </c>
      <c r="K142" s="2">
        <f>I142/1.2/20*16.8</f>
        <v>452143.30000000005</v>
      </c>
      <c r="L142" s="38" t="s">
        <v>17</v>
      </c>
      <c r="M142" s="5" t="s">
        <v>470</v>
      </c>
      <c r="N142" s="5" t="s">
        <v>439</v>
      </c>
    </row>
    <row r="143" spans="1:14" ht="67.5">
      <c r="A143" s="66" t="s">
        <v>597</v>
      </c>
      <c r="B143" s="61" t="s">
        <v>598</v>
      </c>
      <c r="C143" s="61" t="s">
        <v>599</v>
      </c>
      <c r="D143" s="61" t="s">
        <v>600</v>
      </c>
      <c r="E143" s="67" t="s">
        <v>66</v>
      </c>
      <c r="F143" s="67" t="s">
        <v>601</v>
      </c>
      <c r="G143" s="1" t="s">
        <v>910</v>
      </c>
      <c r="H143" s="1" t="s">
        <v>911</v>
      </c>
      <c r="I143" s="21">
        <v>132649.6</v>
      </c>
      <c r="J143" s="59" t="s">
        <v>483</v>
      </c>
      <c r="K143" s="21">
        <f>(I143/300)*10</f>
        <v>4421.653333333334</v>
      </c>
      <c r="L143" s="70" t="s">
        <v>17</v>
      </c>
      <c r="M143" s="61" t="s">
        <v>438</v>
      </c>
      <c r="N143" s="61" t="s">
        <v>435</v>
      </c>
    </row>
    <row r="144" spans="1:14" ht="22.5">
      <c r="A144" s="66" t="s">
        <v>602</v>
      </c>
      <c r="B144" s="61" t="s">
        <v>603</v>
      </c>
      <c r="C144" s="61" t="s">
        <v>604</v>
      </c>
      <c r="D144" s="61" t="s">
        <v>605</v>
      </c>
      <c r="E144" s="67" t="s">
        <v>55</v>
      </c>
      <c r="F144" s="67" t="s">
        <v>606</v>
      </c>
      <c r="G144" s="67" t="s">
        <v>105</v>
      </c>
      <c r="H144" s="67" t="s">
        <v>15</v>
      </c>
      <c r="I144" s="119">
        <v>88817.6</v>
      </c>
      <c r="J144" s="70" t="s">
        <v>607</v>
      </c>
      <c r="K144" s="71">
        <f>I144/28/0.5*0.5</f>
        <v>3172.057142857143</v>
      </c>
      <c r="L144" s="70" t="s">
        <v>17</v>
      </c>
      <c r="M144" s="61" t="s">
        <v>438</v>
      </c>
      <c r="N144" s="61" t="s">
        <v>435</v>
      </c>
    </row>
    <row r="145" spans="1:14" ht="33.75">
      <c r="A145" s="4" t="s">
        <v>912</v>
      </c>
      <c r="B145" s="5" t="s">
        <v>603</v>
      </c>
      <c r="C145" s="89" t="s">
        <v>604</v>
      </c>
      <c r="D145" s="89" t="s">
        <v>913</v>
      </c>
      <c r="E145" s="94" t="s">
        <v>55</v>
      </c>
      <c r="F145" s="94" t="s">
        <v>914</v>
      </c>
      <c r="G145" s="1" t="s">
        <v>915</v>
      </c>
      <c r="H145" s="1" t="s">
        <v>916</v>
      </c>
      <c r="I145" s="119">
        <v>88817.6</v>
      </c>
      <c r="J145" s="120" t="s">
        <v>607</v>
      </c>
      <c r="K145" s="71">
        <f>I145/28/0.5*0.5</f>
        <v>3172.057142857143</v>
      </c>
      <c r="L145" s="59" t="s">
        <v>17</v>
      </c>
      <c r="M145" s="5" t="s">
        <v>438</v>
      </c>
      <c r="N145" s="5" t="s">
        <v>435</v>
      </c>
    </row>
    <row r="146" spans="1:14" ht="22.5">
      <c r="A146" s="5">
        <v>1014077</v>
      </c>
      <c r="B146" s="5" t="s">
        <v>603</v>
      </c>
      <c r="C146" s="89" t="s">
        <v>604</v>
      </c>
      <c r="D146" s="89" t="s">
        <v>917</v>
      </c>
      <c r="E146" s="1" t="s">
        <v>53</v>
      </c>
      <c r="F146" s="94" t="s">
        <v>606</v>
      </c>
      <c r="G146" s="1" t="s">
        <v>42</v>
      </c>
      <c r="H146" s="1" t="s">
        <v>29</v>
      </c>
      <c r="I146" s="119">
        <v>88817.6</v>
      </c>
      <c r="J146" s="120" t="s">
        <v>607</v>
      </c>
      <c r="K146" s="71">
        <f>I146/28/0.5*0.5</f>
        <v>3172.057142857143</v>
      </c>
      <c r="L146" s="59" t="s">
        <v>17</v>
      </c>
      <c r="M146" s="5" t="s">
        <v>438</v>
      </c>
      <c r="N146" s="5" t="s">
        <v>435</v>
      </c>
    </row>
    <row r="147" spans="1:14" ht="45">
      <c r="A147" s="5">
        <v>1014114</v>
      </c>
      <c r="B147" s="5" t="s">
        <v>603</v>
      </c>
      <c r="C147" s="5" t="s">
        <v>604</v>
      </c>
      <c r="D147" s="5" t="s">
        <v>918</v>
      </c>
      <c r="E147" s="1" t="s">
        <v>55</v>
      </c>
      <c r="F147" s="1" t="s">
        <v>606</v>
      </c>
      <c r="G147" s="1" t="s">
        <v>919</v>
      </c>
      <c r="H147" s="1" t="s">
        <v>920</v>
      </c>
      <c r="I147" s="119">
        <v>88817.6</v>
      </c>
      <c r="J147" s="2" t="s">
        <v>921</v>
      </c>
      <c r="K147" s="71">
        <f>I147/28/0.5*0.5</f>
        <v>3172.057142857143</v>
      </c>
      <c r="L147" s="59" t="s">
        <v>17</v>
      </c>
      <c r="M147" s="5" t="s">
        <v>438</v>
      </c>
      <c r="N147" s="5" t="s">
        <v>435</v>
      </c>
    </row>
    <row r="148" spans="1:14" ht="157.5">
      <c r="A148" s="13" t="s">
        <v>477</v>
      </c>
      <c r="B148" s="14" t="s">
        <v>478</v>
      </c>
      <c r="C148" s="15" t="s">
        <v>479</v>
      </c>
      <c r="D148" s="15" t="s">
        <v>480</v>
      </c>
      <c r="E148" s="16" t="s">
        <v>53</v>
      </c>
      <c r="F148" s="16" t="s">
        <v>481</v>
      </c>
      <c r="G148" s="16" t="s">
        <v>482</v>
      </c>
      <c r="H148" s="16" t="s">
        <v>24</v>
      </c>
      <c r="I148" s="95">
        <v>73014.4</v>
      </c>
      <c r="J148" s="96" t="s">
        <v>483</v>
      </c>
      <c r="K148" s="95">
        <f>I148/56/5*10</f>
        <v>2607.657142857143</v>
      </c>
      <c r="L148" s="2" t="s">
        <v>17</v>
      </c>
      <c r="M148" s="97" t="s">
        <v>673</v>
      </c>
      <c r="N148" s="65" t="s">
        <v>436</v>
      </c>
    </row>
    <row r="149" spans="1:14" ht="33.75">
      <c r="A149" s="66">
        <v>1014003</v>
      </c>
      <c r="B149" s="61" t="s">
        <v>608</v>
      </c>
      <c r="C149" s="61" t="s">
        <v>609</v>
      </c>
      <c r="D149" s="61" t="s">
        <v>610</v>
      </c>
      <c r="E149" s="67" t="s">
        <v>53</v>
      </c>
      <c r="F149" s="67" t="s">
        <v>611</v>
      </c>
      <c r="G149" s="1" t="s">
        <v>977</v>
      </c>
      <c r="H149" s="67" t="s">
        <v>60</v>
      </c>
      <c r="I149" s="21">
        <v>65935</v>
      </c>
      <c r="J149" s="59" t="s">
        <v>612</v>
      </c>
      <c r="K149" s="21">
        <f>(I149/392)*14</f>
        <v>2354.821428571429</v>
      </c>
      <c r="L149" s="70" t="s">
        <v>17</v>
      </c>
      <c r="M149" s="61" t="s">
        <v>438</v>
      </c>
      <c r="N149" s="61" t="s">
        <v>435</v>
      </c>
    </row>
    <row r="150" spans="1:14" ht="90">
      <c r="A150" s="44" t="s">
        <v>377</v>
      </c>
      <c r="B150" s="45" t="s">
        <v>378</v>
      </c>
      <c r="C150" s="45" t="s">
        <v>379</v>
      </c>
      <c r="D150" s="46" t="s">
        <v>380</v>
      </c>
      <c r="E150" s="47" t="s">
        <v>59</v>
      </c>
      <c r="F150" s="47" t="s">
        <v>381</v>
      </c>
      <c r="G150" s="47" t="s">
        <v>297</v>
      </c>
      <c r="H150" s="47" t="s">
        <v>54</v>
      </c>
      <c r="I150" s="21">
        <v>162121.8</v>
      </c>
      <c r="J150" s="49" t="s">
        <v>17</v>
      </c>
      <c r="K150" s="48" t="s">
        <v>17</v>
      </c>
      <c r="L150" s="38" t="s">
        <v>17</v>
      </c>
      <c r="M150" s="5" t="s">
        <v>456</v>
      </c>
      <c r="N150" s="5" t="s">
        <v>461</v>
      </c>
    </row>
    <row r="151" spans="1:14" ht="22.5">
      <c r="A151" s="66" t="s">
        <v>613</v>
      </c>
      <c r="B151" s="61" t="s">
        <v>614</v>
      </c>
      <c r="C151" s="61" t="s">
        <v>615</v>
      </c>
      <c r="D151" s="61" t="s">
        <v>616</v>
      </c>
      <c r="E151" s="67" t="s">
        <v>66</v>
      </c>
      <c r="F151" s="67" t="s">
        <v>617</v>
      </c>
      <c r="G151" s="67" t="s">
        <v>978</v>
      </c>
      <c r="H151" s="67" t="s">
        <v>979</v>
      </c>
      <c r="I151" s="71">
        <f>ROUND(638455.43,1)</f>
        <v>638455.4</v>
      </c>
      <c r="J151" s="70" t="s">
        <v>618</v>
      </c>
      <c r="K151" s="71">
        <f>(I151/12)*0.13</f>
        <v>6916.600166666667</v>
      </c>
      <c r="L151" s="70" t="s">
        <v>17</v>
      </c>
      <c r="M151" s="61" t="s">
        <v>438</v>
      </c>
      <c r="N151" s="61" t="s">
        <v>435</v>
      </c>
    </row>
    <row r="152" spans="1:14" ht="56.25">
      <c r="A152" s="66" t="s">
        <v>619</v>
      </c>
      <c r="B152" s="61" t="s">
        <v>620</v>
      </c>
      <c r="C152" s="61" t="s">
        <v>621</v>
      </c>
      <c r="D152" s="61" t="s">
        <v>622</v>
      </c>
      <c r="E152" s="67" t="s">
        <v>66</v>
      </c>
      <c r="F152" s="67" t="s">
        <v>623</v>
      </c>
      <c r="G152" s="67" t="s">
        <v>624</v>
      </c>
      <c r="H152" s="67" t="s">
        <v>29</v>
      </c>
      <c r="I152" s="21">
        <f>ROUND(547650.32,1)</f>
        <v>547650.3</v>
      </c>
      <c r="J152" s="59" t="s">
        <v>625</v>
      </c>
      <c r="K152" s="21">
        <f>(I152/300)*3.29</f>
        <v>6005.898290000001</v>
      </c>
      <c r="L152" s="70" t="s">
        <v>17</v>
      </c>
      <c r="M152" s="61" t="s">
        <v>438</v>
      </c>
      <c r="N152" s="61" t="s">
        <v>435</v>
      </c>
    </row>
    <row r="153" spans="1:14" ht="56.25">
      <c r="A153" s="13" t="s">
        <v>485</v>
      </c>
      <c r="B153" s="14" t="s">
        <v>486</v>
      </c>
      <c r="C153" s="15" t="s">
        <v>487</v>
      </c>
      <c r="D153" s="15" t="s">
        <v>488</v>
      </c>
      <c r="E153" s="16" t="s">
        <v>53</v>
      </c>
      <c r="F153" s="16" t="s">
        <v>489</v>
      </c>
      <c r="G153" s="16" t="s">
        <v>490</v>
      </c>
      <c r="H153" s="16" t="s">
        <v>491</v>
      </c>
      <c r="I153" s="21">
        <v>85551.5</v>
      </c>
      <c r="J153" s="40" t="s">
        <v>17</v>
      </c>
      <c r="K153" s="40" t="s">
        <v>17</v>
      </c>
      <c r="L153" s="40" t="s">
        <v>17</v>
      </c>
      <c r="M153" s="33" t="s">
        <v>484</v>
      </c>
      <c r="N153" s="65" t="s">
        <v>436</v>
      </c>
    </row>
    <row r="154" spans="1:14" ht="33.75">
      <c r="A154" s="66" t="s">
        <v>626</v>
      </c>
      <c r="B154" s="61" t="s">
        <v>627</v>
      </c>
      <c r="C154" s="61" t="s">
        <v>628</v>
      </c>
      <c r="D154" s="61" t="s">
        <v>629</v>
      </c>
      <c r="E154" s="67" t="s">
        <v>242</v>
      </c>
      <c r="F154" s="67" t="s">
        <v>630</v>
      </c>
      <c r="G154" s="67" t="s">
        <v>631</v>
      </c>
      <c r="H154" s="67" t="s">
        <v>632</v>
      </c>
      <c r="I154" s="71">
        <f>ROUND(176511.8,1)</f>
        <v>176511.8</v>
      </c>
      <c r="J154" s="70" t="s">
        <v>633</v>
      </c>
      <c r="K154" s="71">
        <f>(I154/10)*0.34</f>
        <v>6001.4012</v>
      </c>
      <c r="L154" s="70" t="s">
        <v>17</v>
      </c>
      <c r="M154" s="61" t="s">
        <v>438</v>
      </c>
      <c r="N154" s="61" t="s">
        <v>435</v>
      </c>
    </row>
    <row r="155" spans="1:14" ht="33.75">
      <c r="A155" s="4" t="s">
        <v>769</v>
      </c>
      <c r="B155" s="5" t="s">
        <v>770</v>
      </c>
      <c r="C155" s="5" t="s">
        <v>771</v>
      </c>
      <c r="D155" s="5" t="s">
        <v>772</v>
      </c>
      <c r="E155" s="1" t="s">
        <v>53</v>
      </c>
      <c r="F155" s="1" t="s">
        <v>773</v>
      </c>
      <c r="G155" s="1" t="s">
        <v>774</v>
      </c>
      <c r="H155" s="1" t="s">
        <v>491</v>
      </c>
      <c r="I155" s="21">
        <v>11230</v>
      </c>
      <c r="J155" s="59" t="s">
        <v>17</v>
      </c>
      <c r="K155" s="21" t="s">
        <v>17</v>
      </c>
      <c r="L155" s="59" t="s">
        <v>17</v>
      </c>
      <c r="M155" s="5" t="s">
        <v>812</v>
      </c>
      <c r="N155" s="111" t="s">
        <v>435</v>
      </c>
    </row>
    <row r="156" spans="1:14" ht="33.75">
      <c r="A156" s="4" t="s">
        <v>775</v>
      </c>
      <c r="B156" s="5" t="s">
        <v>770</v>
      </c>
      <c r="C156" s="5" t="s">
        <v>771</v>
      </c>
      <c r="D156" s="5" t="s">
        <v>772</v>
      </c>
      <c r="E156" s="1" t="s">
        <v>53</v>
      </c>
      <c r="F156" s="1" t="s">
        <v>776</v>
      </c>
      <c r="G156" s="1" t="s">
        <v>774</v>
      </c>
      <c r="H156" s="1" t="s">
        <v>491</v>
      </c>
      <c r="I156" s="21">
        <v>112299.9</v>
      </c>
      <c r="J156" s="59" t="s">
        <v>17</v>
      </c>
      <c r="K156" s="21" t="s">
        <v>17</v>
      </c>
      <c r="L156" s="59" t="s">
        <v>17</v>
      </c>
      <c r="M156" s="5" t="s">
        <v>812</v>
      </c>
      <c r="N156" s="111" t="s">
        <v>435</v>
      </c>
    </row>
    <row r="157" spans="1:14" ht="33.75">
      <c r="A157" s="4" t="s">
        <v>777</v>
      </c>
      <c r="B157" s="5" t="s">
        <v>770</v>
      </c>
      <c r="C157" s="5" t="s">
        <v>771</v>
      </c>
      <c r="D157" s="5" t="s">
        <v>772</v>
      </c>
      <c r="E157" s="1" t="s">
        <v>53</v>
      </c>
      <c r="F157" s="1" t="s">
        <v>778</v>
      </c>
      <c r="G157" s="1" t="s">
        <v>774</v>
      </c>
      <c r="H157" s="1" t="s">
        <v>491</v>
      </c>
      <c r="I157" s="21">
        <v>109491.5</v>
      </c>
      <c r="J157" s="59" t="s">
        <v>17</v>
      </c>
      <c r="K157" s="21" t="s">
        <v>17</v>
      </c>
      <c r="L157" s="59" t="s">
        <v>17</v>
      </c>
      <c r="M157" s="5" t="s">
        <v>812</v>
      </c>
      <c r="N157" s="111" t="s">
        <v>435</v>
      </c>
    </row>
    <row r="158" spans="1:14" ht="409.5">
      <c r="A158" s="4" t="s">
        <v>227</v>
      </c>
      <c r="B158" s="5" t="s">
        <v>138</v>
      </c>
      <c r="C158" s="5" t="s">
        <v>139</v>
      </c>
      <c r="D158" s="5" t="s">
        <v>140</v>
      </c>
      <c r="E158" s="1" t="s">
        <v>124</v>
      </c>
      <c r="F158" s="1" t="s">
        <v>337</v>
      </c>
      <c r="G158" s="1" t="s">
        <v>922</v>
      </c>
      <c r="H158" s="1" t="s">
        <v>923</v>
      </c>
      <c r="I158" s="21">
        <v>27874.4</v>
      </c>
      <c r="J158" s="2" t="s">
        <v>141</v>
      </c>
      <c r="K158" s="2">
        <f>I158/4/25*7</f>
        <v>1951.208</v>
      </c>
      <c r="L158" s="38" t="s">
        <v>17</v>
      </c>
      <c r="M158" s="5" t="s">
        <v>440</v>
      </c>
      <c r="N158" s="5" t="s">
        <v>441</v>
      </c>
    </row>
    <row r="159" spans="1:14" ht="409.5">
      <c r="A159" s="4" t="s">
        <v>228</v>
      </c>
      <c r="B159" s="5" t="s">
        <v>138</v>
      </c>
      <c r="C159" s="5" t="s">
        <v>139</v>
      </c>
      <c r="D159" s="5" t="s">
        <v>140</v>
      </c>
      <c r="E159" s="3" t="s">
        <v>18</v>
      </c>
      <c r="F159" s="3" t="s">
        <v>142</v>
      </c>
      <c r="G159" s="1" t="s">
        <v>787</v>
      </c>
      <c r="H159" s="2" t="s">
        <v>788</v>
      </c>
      <c r="I159" s="2">
        <v>55624.1</v>
      </c>
      <c r="J159" s="2" t="s">
        <v>141</v>
      </c>
      <c r="K159" s="2">
        <f>I159/4/50*7</f>
        <v>1946.8435</v>
      </c>
      <c r="L159" s="38" t="s">
        <v>17</v>
      </c>
      <c r="M159" s="5" t="s">
        <v>440</v>
      </c>
      <c r="N159" s="5" t="s">
        <v>441</v>
      </c>
    </row>
    <row r="160" spans="1:14" ht="409.5">
      <c r="A160" s="4" t="s">
        <v>229</v>
      </c>
      <c r="B160" s="5" t="s">
        <v>138</v>
      </c>
      <c r="C160" s="5" t="s">
        <v>139</v>
      </c>
      <c r="D160" s="5" t="s">
        <v>140</v>
      </c>
      <c r="E160" s="1" t="s">
        <v>133</v>
      </c>
      <c r="F160" s="1" t="s">
        <v>143</v>
      </c>
      <c r="G160" s="1" t="s">
        <v>922</v>
      </c>
      <c r="H160" s="1" t="s">
        <v>923</v>
      </c>
      <c r="I160" s="2">
        <v>55624.1</v>
      </c>
      <c r="J160" s="2" t="s">
        <v>141</v>
      </c>
      <c r="K160" s="2">
        <f>I160/4/50*7</f>
        <v>1946.8435</v>
      </c>
      <c r="L160" s="38" t="s">
        <v>17</v>
      </c>
      <c r="M160" s="5" t="s">
        <v>440</v>
      </c>
      <c r="N160" s="5" t="s">
        <v>441</v>
      </c>
    </row>
    <row r="161" spans="1:14" ht="409.5">
      <c r="A161" s="114" t="s">
        <v>924</v>
      </c>
      <c r="B161" s="5" t="s">
        <v>138</v>
      </c>
      <c r="C161" s="115" t="s">
        <v>139</v>
      </c>
      <c r="D161" s="5" t="s">
        <v>925</v>
      </c>
      <c r="E161" s="1" t="s">
        <v>18</v>
      </c>
      <c r="F161" s="1" t="s">
        <v>926</v>
      </c>
      <c r="G161" s="1" t="s">
        <v>927</v>
      </c>
      <c r="H161" s="1" t="s">
        <v>19</v>
      </c>
      <c r="I161" s="2">
        <v>22893.3</v>
      </c>
      <c r="J161" s="121" t="s">
        <v>141</v>
      </c>
      <c r="K161" s="2">
        <f>(I161/4)/25*7</f>
        <v>1602.531</v>
      </c>
      <c r="L161" s="38" t="s">
        <v>17</v>
      </c>
      <c r="M161" s="5" t="s">
        <v>440</v>
      </c>
      <c r="N161" s="5" t="s">
        <v>441</v>
      </c>
    </row>
    <row r="162" spans="1:14" ht="409.5">
      <c r="A162" s="114" t="s">
        <v>928</v>
      </c>
      <c r="B162" s="5" t="s">
        <v>138</v>
      </c>
      <c r="C162" s="115" t="s">
        <v>139</v>
      </c>
      <c r="D162" s="5" t="s">
        <v>925</v>
      </c>
      <c r="E162" s="1" t="s">
        <v>548</v>
      </c>
      <c r="F162" s="1" t="s">
        <v>929</v>
      </c>
      <c r="G162" s="1" t="s">
        <v>927</v>
      </c>
      <c r="H162" s="1" t="s">
        <v>19</v>
      </c>
      <c r="I162" s="2">
        <v>45745.4</v>
      </c>
      <c r="J162" s="121" t="s">
        <v>141</v>
      </c>
      <c r="K162" s="2">
        <f>(I162/4)/50*7</f>
        <v>1601.089</v>
      </c>
      <c r="L162" s="38" t="s">
        <v>17</v>
      </c>
      <c r="M162" s="5" t="s">
        <v>440</v>
      </c>
      <c r="N162" s="5" t="s">
        <v>441</v>
      </c>
    </row>
    <row r="163" spans="1:14" ht="303.75">
      <c r="A163" s="4" t="s">
        <v>230</v>
      </c>
      <c r="B163" s="5" t="s">
        <v>144</v>
      </c>
      <c r="C163" s="5" t="s">
        <v>145</v>
      </c>
      <c r="D163" s="5" t="s">
        <v>146</v>
      </c>
      <c r="E163" s="1" t="s">
        <v>59</v>
      </c>
      <c r="F163" s="1" t="s">
        <v>147</v>
      </c>
      <c r="G163" s="1" t="s">
        <v>148</v>
      </c>
      <c r="H163" s="1" t="s">
        <v>40</v>
      </c>
      <c r="I163" s="21">
        <v>40117.3</v>
      </c>
      <c r="J163" s="2" t="s">
        <v>149</v>
      </c>
      <c r="K163" s="2">
        <f>I163/1/100*3.75</f>
        <v>1504.39875</v>
      </c>
      <c r="L163" s="38" t="s">
        <v>17</v>
      </c>
      <c r="M163" s="5" t="s">
        <v>442</v>
      </c>
      <c r="N163" s="5" t="s">
        <v>443</v>
      </c>
    </row>
    <row r="164" spans="1:14" ht="303.75">
      <c r="A164" s="4" t="s">
        <v>245</v>
      </c>
      <c r="B164" s="5" t="s">
        <v>144</v>
      </c>
      <c r="C164" s="5" t="s">
        <v>145</v>
      </c>
      <c r="D164" s="5" t="s">
        <v>246</v>
      </c>
      <c r="E164" s="1" t="s">
        <v>59</v>
      </c>
      <c r="F164" s="1" t="s">
        <v>243</v>
      </c>
      <c r="G164" s="1" t="s">
        <v>247</v>
      </c>
      <c r="H164" s="1" t="s">
        <v>86</v>
      </c>
      <c r="I164" s="21">
        <v>17893.9</v>
      </c>
      <c r="J164" s="2" t="s">
        <v>149</v>
      </c>
      <c r="K164" s="2">
        <f>I164/1/100*3.75</f>
        <v>671.0212500000001</v>
      </c>
      <c r="L164" s="38" t="s">
        <v>17</v>
      </c>
      <c r="M164" s="5" t="s">
        <v>459</v>
      </c>
      <c r="N164" s="5" t="s">
        <v>443</v>
      </c>
    </row>
    <row r="165" spans="1:14" ht="303.75">
      <c r="A165" s="4" t="s">
        <v>248</v>
      </c>
      <c r="B165" s="5" t="s">
        <v>144</v>
      </c>
      <c r="C165" s="5" t="s">
        <v>145</v>
      </c>
      <c r="D165" s="5" t="s">
        <v>249</v>
      </c>
      <c r="E165" s="1" t="s">
        <v>59</v>
      </c>
      <c r="F165" s="1" t="s">
        <v>243</v>
      </c>
      <c r="G165" s="1" t="s">
        <v>704</v>
      </c>
      <c r="H165" s="1" t="s">
        <v>705</v>
      </c>
      <c r="I165" s="21">
        <v>17893.9</v>
      </c>
      <c r="J165" s="2" t="s">
        <v>149</v>
      </c>
      <c r="K165" s="2">
        <f>I165/1/100*3.75</f>
        <v>671.0212500000001</v>
      </c>
      <c r="L165" s="38" t="s">
        <v>17</v>
      </c>
      <c r="M165" s="5" t="s">
        <v>460</v>
      </c>
      <c r="N165" s="5" t="s">
        <v>443</v>
      </c>
    </row>
    <row r="166" spans="1:14" s="25" customFormat="1" ht="405">
      <c r="A166" s="81" t="s">
        <v>547</v>
      </c>
      <c r="B166" s="82" t="s">
        <v>150</v>
      </c>
      <c r="C166" s="82" t="s">
        <v>151</v>
      </c>
      <c r="D166" s="82" t="s">
        <v>152</v>
      </c>
      <c r="E166" s="83" t="s">
        <v>548</v>
      </c>
      <c r="F166" s="76" t="s">
        <v>549</v>
      </c>
      <c r="G166" s="83" t="s">
        <v>550</v>
      </c>
      <c r="H166" s="83" t="s">
        <v>24</v>
      </c>
      <c r="I166" s="98">
        <v>42853.3</v>
      </c>
      <c r="J166" s="99" t="s">
        <v>153</v>
      </c>
      <c r="K166" s="2">
        <f>I166/2/40*2.9</f>
        <v>1553.4321249999998</v>
      </c>
      <c r="L166" s="84" t="s">
        <v>17</v>
      </c>
      <c r="M166" s="61" t="s">
        <v>528</v>
      </c>
      <c r="N166" s="61" t="s">
        <v>444</v>
      </c>
    </row>
    <row r="167" spans="1:14" s="28" customFormat="1" ht="123.75">
      <c r="A167" s="4" t="s">
        <v>930</v>
      </c>
      <c r="B167" s="51" t="s">
        <v>150</v>
      </c>
      <c r="C167" s="92" t="s">
        <v>151</v>
      </c>
      <c r="D167" s="92" t="s">
        <v>152</v>
      </c>
      <c r="E167" s="93" t="s">
        <v>18</v>
      </c>
      <c r="F167" s="93" t="s">
        <v>674</v>
      </c>
      <c r="G167" s="93" t="s">
        <v>550</v>
      </c>
      <c r="H167" s="93" t="s">
        <v>24</v>
      </c>
      <c r="I167" s="21">
        <v>21459</v>
      </c>
      <c r="J167" s="2" t="s">
        <v>153</v>
      </c>
      <c r="K167" s="21">
        <f>I167/2/20*2.9</f>
        <v>1555.7775</v>
      </c>
      <c r="L167" s="59" t="s">
        <v>17</v>
      </c>
      <c r="M167" s="5" t="s">
        <v>675</v>
      </c>
      <c r="N167" s="5" t="s">
        <v>444</v>
      </c>
    </row>
    <row r="168" spans="1:17" s="28" customFormat="1" ht="146.25">
      <c r="A168" s="50" t="s">
        <v>676</v>
      </c>
      <c r="B168" s="51" t="s">
        <v>150</v>
      </c>
      <c r="C168" s="92" t="s">
        <v>151</v>
      </c>
      <c r="D168" s="92" t="s">
        <v>152</v>
      </c>
      <c r="E168" s="93" t="s">
        <v>548</v>
      </c>
      <c r="F168" s="93" t="s">
        <v>677</v>
      </c>
      <c r="G168" s="93" t="s">
        <v>550</v>
      </c>
      <c r="H168" s="93" t="s">
        <v>24</v>
      </c>
      <c r="I168" s="21">
        <v>58039.3</v>
      </c>
      <c r="J168" s="2" t="s">
        <v>153</v>
      </c>
      <c r="K168" s="21">
        <f>I168/80*2.9</f>
        <v>2103.924625</v>
      </c>
      <c r="L168" s="59" t="s">
        <v>17</v>
      </c>
      <c r="M168" s="5" t="s">
        <v>678</v>
      </c>
      <c r="N168" s="5" t="s">
        <v>444</v>
      </c>
      <c r="O168" s="90"/>
      <c r="P168" s="90"/>
      <c r="Q168" s="90"/>
    </row>
    <row r="169" spans="1:17" s="90" customFormat="1" ht="382.5">
      <c r="A169" s="50" t="s">
        <v>679</v>
      </c>
      <c r="B169" s="51" t="s">
        <v>150</v>
      </c>
      <c r="C169" s="5" t="s">
        <v>151</v>
      </c>
      <c r="D169" s="5" t="s">
        <v>680</v>
      </c>
      <c r="E169" s="1" t="s">
        <v>18</v>
      </c>
      <c r="F169" s="93" t="s">
        <v>681</v>
      </c>
      <c r="G169" s="93" t="s">
        <v>682</v>
      </c>
      <c r="H169" s="93" t="s">
        <v>40</v>
      </c>
      <c r="I169" s="21">
        <v>10081.6</v>
      </c>
      <c r="J169" s="59" t="s">
        <v>153</v>
      </c>
      <c r="K169" s="21">
        <f>I169/20*2.9</f>
        <v>1461.832</v>
      </c>
      <c r="L169" s="21" t="s">
        <v>17</v>
      </c>
      <c r="M169" s="5" t="s">
        <v>529</v>
      </c>
      <c r="N169" s="5" t="s">
        <v>444</v>
      </c>
      <c r="O169" s="28"/>
      <c r="P169" s="28"/>
      <c r="Q169" s="28"/>
    </row>
    <row r="170" spans="1:14" s="28" customFormat="1" ht="382.5">
      <c r="A170" s="50" t="s">
        <v>683</v>
      </c>
      <c r="B170" s="51" t="s">
        <v>150</v>
      </c>
      <c r="C170" s="5" t="s">
        <v>151</v>
      </c>
      <c r="D170" s="5" t="s">
        <v>680</v>
      </c>
      <c r="E170" s="1" t="s">
        <v>18</v>
      </c>
      <c r="F170" s="93" t="s">
        <v>239</v>
      </c>
      <c r="G170" s="93" t="s">
        <v>682</v>
      </c>
      <c r="H170" s="93" t="s">
        <v>40</v>
      </c>
      <c r="I170" s="21">
        <v>39419.7</v>
      </c>
      <c r="J170" s="59" t="s">
        <v>153</v>
      </c>
      <c r="K170" s="21">
        <f aca="true" t="shared" si="1" ref="K170:K175">I170/2/40*2.9</f>
        <v>1428.964125</v>
      </c>
      <c r="L170" s="21" t="s">
        <v>17</v>
      </c>
      <c r="M170" s="5" t="s">
        <v>529</v>
      </c>
      <c r="N170" s="5" t="s">
        <v>444</v>
      </c>
    </row>
    <row r="171" spans="1:14" s="28" customFormat="1" ht="382.5">
      <c r="A171" s="50" t="s">
        <v>684</v>
      </c>
      <c r="B171" s="51" t="s">
        <v>150</v>
      </c>
      <c r="C171" s="5" t="s">
        <v>151</v>
      </c>
      <c r="D171" s="5" t="s">
        <v>680</v>
      </c>
      <c r="E171" s="1" t="s">
        <v>548</v>
      </c>
      <c r="F171" s="93" t="s">
        <v>685</v>
      </c>
      <c r="G171" s="93" t="s">
        <v>682</v>
      </c>
      <c r="H171" s="93" t="s">
        <v>40</v>
      </c>
      <c r="I171" s="21">
        <v>39419.7</v>
      </c>
      <c r="J171" s="59" t="s">
        <v>153</v>
      </c>
      <c r="K171" s="21">
        <f t="shared" si="1"/>
        <v>1428.964125</v>
      </c>
      <c r="L171" s="21" t="s">
        <v>17</v>
      </c>
      <c r="M171" s="5" t="s">
        <v>529</v>
      </c>
      <c r="N171" s="5" t="s">
        <v>444</v>
      </c>
    </row>
    <row r="172" spans="1:14" s="28" customFormat="1" ht="382.5">
      <c r="A172" s="88" t="s">
        <v>686</v>
      </c>
      <c r="B172" s="89" t="s">
        <v>150</v>
      </c>
      <c r="C172" s="89" t="s">
        <v>151</v>
      </c>
      <c r="D172" s="5" t="s">
        <v>687</v>
      </c>
      <c r="E172" s="1" t="s">
        <v>18</v>
      </c>
      <c r="F172" s="1" t="s">
        <v>688</v>
      </c>
      <c r="G172" s="1" t="s">
        <v>689</v>
      </c>
      <c r="H172" s="1" t="s">
        <v>19</v>
      </c>
      <c r="I172" s="21">
        <v>39419.7</v>
      </c>
      <c r="J172" s="59" t="s">
        <v>153</v>
      </c>
      <c r="K172" s="21">
        <f t="shared" si="1"/>
        <v>1428.964125</v>
      </c>
      <c r="L172" s="59" t="s">
        <v>17</v>
      </c>
      <c r="M172" s="5" t="s">
        <v>529</v>
      </c>
      <c r="N172" s="5" t="s">
        <v>444</v>
      </c>
    </row>
    <row r="173" spans="1:14" s="28" customFormat="1" ht="382.5">
      <c r="A173" s="88" t="s">
        <v>690</v>
      </c>
      <c r="B173" s="89" t="s">
        <v>150</v>
      </c>
      <c r="C173" s="89" t="s">
        <v>151</v>
      </c>
      <c r="D173" s="5" t="s">
        <v>687</v>
      </c>
      <c r="E173" s="1" t="s">
        <v>548</v>
      </c>
      <c r="F173" s="1" t="s">
        <v>691</v>
      </c>
      <c r="G173" s="1" t="s">
        <v>689</v>
      </c>
      <c r="H173" s="1" t="s">
        <v>19</v>
      </c>
      <c r="I173" s="21">
        <v>39419.7</v>
      </c>
      <c r="J173" s="59" t="s">
        <v>153</v>
      </c>
      <c r="K173" s="21">
        <f t="shared" si="1"/>
        <v>1428.964125</v>
      </c>
      <c r="L173" s="59" t="s">
        <v>17</v>
      </c>
      <c r="M173" s="5" t="s">
        <v>529</v>
      </c>
      <c r="N173" s="5" t="s">
        <v>444</v>
      </c>
    </row>
    <row r="174" spans="1:14" s="28" customFormat="1" ht="382.5">
      <c r="A174" s="88" t="s">
        <v>692</v>
      </c>
      <c r="B174" s="89" t="s">
        <v>150</v>
      </c>
      <c r="C174" s="5" t="s">
        <v>151</v>
      </c>
      <c r="D174" s="5" t="s">
        <v>693</v>
      </c>
      <c r="E174" s="94" t="s">
        <v>548</v>
      </c>
      <c r="F174" s="1" t="s">
        <v>694</v>
      </c>
      <c r="G174" s="1" t="s">
        <v>185</v>
      </c>
      <c r="H174" s="1" t="s">
        <v>19</v>
      </c>
      <c r="I174" s="21">
        <v>39419.7</v>
      </c>
      <c r="J174" s="53" t="s">
        <v>153</v>
      </c>
      <c r="K174" s="21">
        <f t="shared" si="1"/>
        <v>1428.964125</v>
      </c>
      <c r="L174" s="100" t="s">
        <v>17</v>
      </c>
      <c r="M174" s="5" t="s">
        <v>529</v>
      </c>
      <c r="N174" s="5" t="s">
        <v>444</v>
      </c>
    </row>
    <row r="175" spans="1:14" s="28" customFormat="1" ht="382.5">
      <c r="A175" s="88" t="s">
        <v>695</v>
      </c>
      <c r="B175" s="89" t="s">
        <v>150</v>
      </c>
      <c r="C175" s="5" t="s">
        <v>151</v>
      </c>
      <c r="D175" s="5" t="s">
        <v>693</v>
      </c>
      <c r="E175" s="94" t="s">
        <v>18</v>
      </c>
      <c r="F175" s="1" t="s">
        <v>239</v>
      </c>
      <c r="G175" s="1" t="s">
        <v>185</v>
      </c>
      <c r="H175" s="1" t="s">
        <v>19</v>
      </c>
      <c r="I175" s="21">
        <v>39419.7</v>
      </c>
      <c r="J175" s="2" t="s">
        <v>153</v>
      </c>
      <c r="K175" s="21">
        <f t="shared" si="1"/>
        <v>1428.964125</v>
      </c>
      <c r="L175" s="100" t="s">
        <v>17</v>
      </c>
      <c r="M175" s="5" t="s">
        <v>529</v>
      </c>
      <c r="N175" s="5" t="s">
        <v>444</v>
      </c>
    </row>
    <row r="176" spans="1:14" ht="303.75">
      <c r="A176" s="4" t="s">
        <v>231</v>
      </c>
      <c r="B176" s="5" t="s">
        <v>154</v>
      </c>
      <c r="C176" s="5" t="s">
        <v>155</v>
      </c>
      <c r="D176" s="5" t="s">
        <v>156</v>
      </c>
      <c r="E176" s="1" t="s">
        <v>18</v>
      </c>
      <c r="F176" s="1" t="s">
        <v>789</v>
      </c>
      <c r="G176" s="1" t="s">
        <v>148</v>
      </c>
      <c r="H176" s="1" t="s">
        <v>40</v>
      </c>
      <c r="I176" s="95">
        <v>79309.7</v>
      </c>
      <c r="J176" s="96" t="s">
        <v>157</v>
      </c>
      <c r="K176" s="95">
        <f>I176/1/50*1.66</f>
        <v>2633.08204</v>
      </c>
      <c r="L176" s="1" t="s">
        <v>17</v>
      </c>
      <c r="M176" s="97" t="s">
        <v>696</v>
      </c>
      <c r="N176" s="5" t="s">
        <v>435</v>
      </c>
    </row>
    <row r="177" spans="1:14" ht="45">
      <c r="A177" s="50" t="s">
        <v>362</v>
      </c>
      <c r="B177" s="51" t="s">
        <v>154</v>
      </c>
      <c r="C177" s="56" t="s">
        <v>155</v>
      </c>
      <c r="D177" s="56" t="s">
        <v>156</v>
      </c>
      <c r="E177" s="1" t="s">
        <v>18</v>
      </c>
      <c r="F177" s="1" t="s">
        <v>371</v>
      </c>
      <c r="G177" s="1" t="s">
        <v>363</v>
      </c>
      <c r="H177" s="59" t="s">
        <v>40</v>
      </c>
      <c r="I177" s="21">
        <v>128267.5</v>
      </c>
      <c r="J177" s="59" t="s">
        <v>157</v>
      </c>
      <c r="K177" s="21">
        <f>I177/1/100*1.66</f>
        <v>2129.2405</v>
      </c>
      <c r="L177" s="38" t="s">
        <v>17</v>
      </c>
      <c r="M177" s="5" t="s">
        <v>458</v>
      </c>
      <c r="N177" s="5" t="s">
        <v>435</v>
      </c>
    </row>
    <row r="178" spans="1:14" ht="183" customHeight="1">
      <c r="A178" s="4" t="s">
        <v>497</v>
      </c>
      <c r="B178" s="5" t="s">
        <v>498</v>
      </c>
      <c r="C178" s="5" t="s">
        <v>499</v>
      </c>
      <c r="D178" s="5" t="s">
        <v>500</v>
      </c>
      <c r="E178" s="1" t="s">
        <v>18</v>
      </c>
      <c r="F178" s="1" t="s">
        <v>501</v>
      </c>
      <c r="G178" s="1" t="s">
        <v>502</v>
      </c>
      <c r="H178" s="1" t="s">
        <v>503</v>
      </c>
      <c r="I178" s="21">
        <v>237822.2</v>
      </c>
      <c r="J178" s="2" t="s">
        <v>504</v>
      </c>
      <c r="K178" s="2">
        <f>+(I178/1)/45*0.54</f>
        <v>2853.8664000000003</v>
      </c>
      <c r="L178" s="1" t="s">
        <v>17</v>
      </c>
      <c r="M178" s="5" t="s">
        <v>980</v>
      </c>
      <c r="N178" s="5" t="s">
        <v>435</v>
      </c>
    </row>
    <row r="179" spans="1:14" ht="271.5" customHeight="1">
      <c r="A179" s="4" t="s">
        <v>505</v>
      </c>
      <c r="B179" s="5" t="s">
        <v>498</v>
      </c>
      <c r="C179" s="5" t="s">
        <v>499</v>
      </c>
      <c r="D179" s="5" t="s">
        <v>500</v>
      </c>
      <c r="E179" s="1" t="s">
        <v>18</v>
      </c>
      <c r="F179" s="1" t="s">
        <v>506</v>
      </c>
      <c r="G179" s="1" t="s">
        <v>502</v>
      </c>
      <c r="H179" s="1" t="s">
        <v>503</v>
      </c>
      <c r="I179" s="21">
        <v>237822.2</v>
      </c>
      <c r="J179" s="2" t="s">
        <v>504</v>
      </c>
      <c r="K179" s="2">
        <f>+(I179/1)/90*0.54</f>
        <v>1426.9332000000002</v>
      </c>
      <c r="L179" s="1" t="s">
        <v>17</v>
      </c>
      <c r="M179" s="5" t="s">
        <v>981</v>
      </c>
      <c r="N179" s="5" t="s">
        <v>435</v>
      </c>
    </row>
    <row r="180" spans="1:14" ht="168.75">
      <c r="A180" s="4" t="s">
        <v>232</v>
      </c>
      <c r="B180" s="5" t="s">
        <v>158</v>
      </c>
      <c r="C180" s="5" t="s">
        <v>159</v>
      </c>
      <c r="D180" s="5" t="s">
        <v>160</v>
      </c>
      <c r="E180" s="1" t="s">
        <v>66</v>
      </c>
      <c r="F180" s="1" t="s">
        <v>161</v>
      </c>
      <c r="G180" s="1" t="s">
        <v>162</v>
      </c>
      <c r="H180" s="1" t="s">
        <v>24</v>
      </c>
      <c r="I180" s="21">
        <v>12577.8</v>
      </c>
      <c r="J180" s="2" t="s">
        <v>274</v>
      </c>
      <c r="K180" s="2">
        <f>I180/1/80*20</f>
        <v>3144.45</v>
      </c>
      <c r="L180" s="38" t="s">
        <v>17</v>
      </c>
      <c r="M180" s="5" t="s">
        <v>445</v>
      </c>
      <c r="N180" s="5" t="s">
        <v>446</v>
      </c>
    </row>
    <row r="181" spans="1:14" ht="168.75">
      <c r="A181" s="4" t="s">
        <v>233</v>
      </c>
      <c r="B181" s="5" t="s">
        <v>158</v>
      </c>
      <c r="C181" s="5" t="s">
        <v>159</v>
      </c>
      <c r="D181" s="5" t="s">
        <v>160</v>
      </c>
      <c r="E181" s="1" t="s">
        <v>66</v>
      </c>
      <c r="F181" s="1" t="s">
        <v>163</v>
      </c>
      <c r="G181" s="1" t="s">
        <v>162</v>
      </c>
      <c r="H181" s="1" t="s">
        <v>24</v>
      </c>
      <c r="I181" s="21">
        <v>31355.9</v>
      </c>
      <c r="J181" s="2" t="s">
        <v>274</v>
      </c>
      <c r="K181" s="2">
        <f>I181/1/200*20</f>
        <v>3135.59</v>
      </c>
      <c r="L181" s="38" t="s">
        <v>17</v>
      </c>
      <c r="M181" s="5" t="s">
        <v>445</v>
      </c>
      <c r="N181" s="5" t="s">
        <v>446</v>
      </c>
    </row>
    <row r="182" spans="1:14" ht="168.75">
      <c r="A182" s="4" t="s">
        <v>234</v>
      </c>
      <c r="B182" s="5" t="s">
        <v>158</v>
      </c>
      <c r="C182" s="5" t="s">
        <v>159</v>
      </c>
      <c r="D182" s="5" t="s">
        <v>160</v>
      </c>
      <c r="E182" s="1" t="s">
        <v>66</v>
      </c>
      <c r="F182" s="1" t="s">
        <v>164</v>
      </c>
      <c r="G182" s="1" t="s">
        <v>162</v>
      </c>
      <c r="H182" s="1" t="s">
        <v>24</v>
      </c>
      <c r="I182" s="21">
        <v>62651.7</v>
      </c>
      <c r="J182" s="2" t="s">
        <v>274</v>
      </c>
      <c r="K182" s="2">
        <f>I182/1/400*20</f>
        <v>3132.5849999999996</v>
      </c>
      <c r="L182" s="38" t="s">
        <v>17</v>
      </c>
      <c r="M182" s="5" t="s">
        <v>445</v>
      </c>
      <c r="N182" s="5" t="s">
        <v>446</v>
      </c>
    </row>
    <row r="183" spans="1:14" ht="135">
      <c r="A183" s="5" t="s">
        <v>364</v>
      </c>
      <c r="B183" s="5" t="s">
        <v>158</v>
      </c>
      <c r="C183" s="5" t="s">
        <v>159</v>
      </c>
      <c r="D183" s="5" t="s">
        <v>160</v>
      </c>
      <c r="E183" s="1" t="s">
        <v>18</v>
      </c>
      <c r="F183" s="1" t="s">
        <v>365</v>
      </c>
      <c r="G183" s="1" t="s">
        <v>50</v>
      </c>
      <c r="H183" s="1" t="s">
        <v>15</v>
      </c>
      <c r="I183" s="95">
        <v>87688.7</v>
      </c>
      <c r="J183" s="96" t="s">
        <v>274</v>
      </c>
      <c r="K183" s="95">
        <f>I183/4/162*20</f>
        <v>2706.441358024691</v>
      </c>
      <c r="L183" s="2" t="s">
        <v>17</v>
      </c>
      <c r="M183" s="97" t="s">
        <v>697</v>
      </c>
      <c r="N183" s="55" t="s">
        <v>436</v>
      </c>
    </row>
    <row r="184" spans="1:14" ht="338.25" customHeight="1">
      <c r="A184" s="5" t="s">
        <v>492</v>
      </c>
      <c r="B184" s="5" t="s">
        <v>493</v>
      </c>
      <c r="C184" s="5" t="s">
        <v>494</v>
      </c>
      <c r="D184" s="5" t="s">
        <v>495</v>
      </c>
      <c r="E184" s="1" t="s">
        <v>18</v>
      </c>
      <c r="F184" s="1" t="s">
        <v>496</v>
      </c>
      <c r="G184" s="1" t="s">
        <v>982</v>
      </c>
      <c r="H184" s="1" t="s">
        <v>983</v>
      </c>
      <c r="I184" s="21">
        <v>101324.1</v>
      </c>
      <c r="J184" s="2" t="s">
        <v>483</v>
      </c>
      <c r="K184" s="2">
        <f>I184/2/150*10</f>
        <v>3377.4700000000003</v>
      </c>
      <c r="L184" s="40" t="s">
        <v>17</v>
      </c>
      <c r="M184" s="5" t="s">
        <v>985</v>
      </c>
      <c r="N184" s="55" t="s">
        <v>436</v>
      </c>
    </row>
    <row r="185" spans="1:14" ht="334.5" customHeight="1">
      <c r="A185" s="4" t="s">
        <v>931</v>
      </c>
      <c r="B185" s="5" t="s">
        <v>493</v>
      </c>
      <c r="C185" s="5" t="s">
        <v>494</v>
      </c>
      <c r="D185" s="5" t="s">
        <v>495</v>
      </c>
      <c r="E185" s="1" t="s">
        <v>548</v>
      </c>
      <c r="F185" s="1" t="s">
        <v>932</v>
      </c>
      <c r="G185" s="1" t="s">
        <v>984</v>
      </c>
      <c r="H185" s="1" t="s">
        <v>983</v>
      </c>
      <c r="I185" s="117">
        <v>101324.1</v>
      </c>
      <c r="J185" s="2" t="s">
        <v>483</v>
      </c>
      <c r="K185" s="2">
        <f>I185/2/150*10</f>
        <v>3377.4700000000003</v>
      </c>
      <c r="L185" s="40" t="s">
        <v>17</v>
      </c>
      <c r="M185" s="5" t="s">
        <v>985</v>
      </c>
      <c r="N185" s="55" t="s">
        <v>436</v>
      </c>
    </row>
    <row r="186" spans="1:14" ht="146.25">
      <c r="A186" s="5" t="s">
        <v>341</v>
      </c>
      <c r="B186" s="5" t="s">
        <v>342</v>
      </c>
      <c r="C186" s="5" t="s">
        <v>343</v>
      </c>
      <c r="D186" s="5" t="s">
        <v>346</v>
      </c>
      <c r="E186" s="1" t="s">
        <v>55</v>
      </c>
      <c r="F186" s="1" t="s">
        <v>344</v>
      </c>
      <c r="G186" s="1" t="s">
        <v>551</v>
      </c>
      <c r="H186" s="1" t="s">
        <v>526</v>
      </c>
      <c r="I186" s="2">
        <v>381525.9</v>
      </c>
      <c r="J186" s="2" t="s">
        <v>345</v>
      </c>
      <c r="K186" s="2">
        <f>I186/10/21*10</f>
        <v>18167.9</v>
      </c>
      <c r="L186" s="40" t="s">
        <v>17</v>
      </c>
      <c r="M186" s="5" t="s">
        <v>933</v>
      </c>
      <c r="N186" s="5" t="s">
        <v>934</v>
      </c>
    </row>
    <row r="187" spans="1:14" ht="146.25">
      <c r="A187" s="5">
        <v>1014024</v>
      </c>
      <c r="B187" s="5" t="s">
        <v>342</v>
      </c>
      <c r="C187" s="5" t="s">
        <v>343</v>
      </c>
      <c r="D187" s="5" t="s">
        <v>346</v>
      </c>
      <c r="E187" s="1" t="s">
        <v>55</v>
      </c>
      <c r="F187" s="1" t="s">
        <v>514</v>
      </c>
      <c r="G187" s="1" t="s">
        <v>551</v>
      </c>
      <c r="H187" s="1" t="s">
        <v>526</v>
      </c>
      <c r="I187" s="2">
        <v>441938</v>
      </c>
      <c r="J187" s="2" t="s">
        <v>345</v>
      </c>
      <c r="K187" s="2">
        <f>I187/21/25*10</f>
        <v>8417.866666666667</v>
      </c>
      <c r="L187" s="40" t="s">
        <v>17</v>
      </c>
      <c r="M187" s="5" t="s">
        <v>933</v>
      </c>
      <c r="N187" s="5" t="s">
        <v>934</v>
      </c>
    </row>
    <row r="188" spans="1:14" ht="146.25">
      <c r="A188" s="66" t="s">
        <v>552</v>
      </c>
      <c r="B188" s="61" t="s">
        <v>342</v>
      </c>
      <c r="C188" s="61" t="s">
        <v>343</v>
      </c>
      <c r="D188" s="61" t="s">
        <v>702</v>
      </c>
      <c r="E188" s="67" t="s">
        <v>55</v>
      </c>
      <c r="F188" s="76" t="s">
        <v>553</v>
      </c>
      <c r="G188" s="67" t="s">
        <v>554</v>
      </c>
      <c r="H188" s="67" t="s">
        <v>555</v>
      </c>
      <c r="I188" s="21">
        <v>35132.399999999994</v>
      </c>
      <c r="J188" s="53" t="s">
        <v>483</v>
      </c>
      <c r="K188" s="21">
        <f>I188/7/5*10</f>
        <v>10037.82857142857</v>
      </c>
      <c r="L188" s="70" t="s">
        <v>17</v>
      </c>
      <c r="M188" s="5" t="s">
        <v>933</v>
      </c>
      <c r="N188" s="5" t="s">
        <v>934</v>
      </c>
    </row>
    <row r="189" spans="1:14" ht="146.25">
      <c r="A189" s="66" t="s">
        <v>556</v>
      </c>
      <c r="B189" s="61" t="s">
        <v>342</v>
      </c>
      <c r="C189" s="61" t="s">
        <v>343</v>
      </c>
      <c r="D189" s="61" t="s">
        <v>702</v>
      </c>
      <c r="E189" s="67" t="s">
        <v>55</v>
      </c>
      <c r="F189" s="76" t="s">
        <v>344</v>
      </c>
      <c r="G189" s="67" t="s">
        <v>554</v>
      </c>
      <c r="H189" s="67" t="s">
        <v>555</v>
      </c>
      <c r="I189" s="2">
        <v>109917.1</v>
      </c>
      <c r="J189" s="53" t="s">
        <v>483</v>
      </c>
      <c r="K189" s="21">
        <f>I189/21/10*10</f>
        <v>5234.147619047619</v>
      </c>
      <c r="L189" s="70" t="s">
        <v>17</v>
      </c>
      <c r="M189" s="5" t="s">
        <v>933</v>
      </c>
      <c r="N189" s="5" t="s">
        <v>934</v>
      </c>
    </row>
    <row r="190" spans="1:14" ht="146.25">
      <c r="A190" s="66" t="s">
        <v>557</v>
      </c>
      <c r="B190" s="61" t="s">
        <v>342</v>
      </c>
      <c r="C190" s="61" t="s">
        <v>343</v>
      </c>
      <c r="D190" s="61" t="s">
        <v>702</v>
      </c>
      <c r="E190" s="67" t="s">
        <v>55</v>
      </c>
      <c r="F190" s="76" t="s">
        <v>558</v>
      </c>
      <c r="G190" s="67" t="s">
        <v>554</v>
      </c>
      <c r="H190" s="67" t="s">
        <v>555</v>
      </c>
      <c r="I190" s="21">
        <v>115014.4</v>
      </c>
      <c r="J190" s="53" t="s">
        <v>483</v>
      </c>
      <c r="K190" s="21">
        <f>I190/21/15*10</f>
        <v>3651.2507936507936</v>
      </c>
      <c r="L190" s="70" t="s">
        <v>17</v>
      </c>
      <c r="M190" s="5" t="s">
        <v>933</v>
      </c>
      <c r="N190" s="5" t="s">
        <v>934</v>
      </c>
    </row>
    <row r="191" spans="1:14" ht="146.25">
      <c r="A191" s="66" t="s">
        <v>559</v>
      </c>
      <c r="B191" s="61" t="s">
        <v>342</v>
      </c>
      <c r="C191" s="61" t="s">
        <v>343</v>
      </c>
      <c r="D191" s="61" t="s">
        <v>702</v>
      </c>
      <c r="E191" s="67" t="s">
        <v>55</v>
      </c>
      <c r="F191" s="76" t="s">
        <v>514</v>
      </c>
      <c r="G191" s="67" t="s">
        <v>554</v>
      </c>
      <c r="H191" s="67" t="s">
        <v>555</v>
      </c>
      <c r="I191" s="2">
        <v>124415.2</v>
      </c>
      <c r="J191" s="53" t="s">
        <v>483</v>
      </c>
      <c r="K191" s="21">
        <f>I191/21/25*10</f>
        <v>2369.813333333333</v>
      </c>
      <c r="L191" s="70" t="s">
        <v>17</v>
      </c>
      <c r="M191" s="5" t="s">
        <v>933</v>
      </c>
      <c r="N191" s="5" t="s">
        <v>934</v>
      </c>
    </row>
    <row r="192" spans="1:14" ht="146.25">
      <c r="A192" s="50" t="s">
        <v>935</v>
      </c>
      <c r="B192" s="50" t="s">
        <v>342</v>
      </c>
      <c r="C192" s="89" t="s">
        <v>343</v>
      </c>
      <c r="D192" s="89" t="s">
        <v>936</v>
      </c>
      <c r="E192" s="94" t="s">
        <v>55</v>
      </c>
      <c r="F192" s="94" t="s">
        <v>698</v>
      </c>
      <c r="G192" s="1" t="s">
        <v>937</v>
      </c>
      <c r="H192" s="1" t="s">
        <v>938</v>
      </c>
      <c r="I192" s="2">
        <v>105397.2</v>
      </c>
      <c r="J192" s="53" t="s">
        <v>483</v>
      </c>
      <c r="K192" s="40">
        <f>+(I192/21)/5*10</f>
        <v>10037.82857142857</v>
      </c>
      <c r="L192" s="59" t="s">
        <v>17</v>
      </c>
      <c r="M192" s="5" t="s">
        <v>933</v>
      </c>
      <c r="N192" s="5" t="s">
        <v>934</v>
      </c>
    </row>
    <row r="193" spans="1:14" ht="146.25">
      <c r="A193" s="50" t="s">
        <v>939</v>
      </c>
      <c r="B193" s="50" t="s">
        <v>342</v>
      </c>
      <c r="C193" s="89" t="s">
        <v>343</v>
      </c>
      <c r="D193" s="89" t="s">
        <v>936</v>
      </c>
      <c r="E193" s="94" t="s">
        <v>55</v>
      </c>
      <c r="F193" s="94" t="s">
        <v>344</v>
      </c>
      <c r="G193" s="1" t="s">
        <v>937</v>
      </c>
      <c r="H193" s="1" t="s">
        <v>938</v>
      </c>
      <c r="I193" s="2">
        <v>109917.1</v>
      </c>
      <c r="J193" s="53" t="s">
        <v>483</v>
      </c>
      <c r="K193" s="40">
        <f>+(I193/21)/10*10</f>
        <v>5234.147619047619</v>
      </c>
      <c r="L193" s="59" t="s">
        <v>17</v>
      </c>
      <c r="M193" s="5" t="s">
        <v>933</v>
      </c>
      <c r="N193" s="5" t="s">
        <v>934</v>
      </c>
    </row>
    <row r="194" spans="1:14" ht="146.25">
      <c r="A194" s="50" t="s">
        <v>940</v>
      </c>
      <c r="B194" s="50" t="s">
        <v>342</v>
      </c>
      <c r="C194" s="89" t="s">
        <v>343</v>
      </c>
      <c r="D194" s="89" t="s">
        <v>936</v>
      </c>
      <c r="E194" s="94" t="s">
        <v>55</v>
      </c>
      <c r="F194" s="94" t="s">
        <v>558</v>
      </c>
      <c r="G194" s="1" t="s">
        <v>937</v>
      </c>
      <c r="H194" s="1" t="s">
        <v>938</v>
      </c>
      <c r="I194" s="2">
        <v>115014.4</v>
      </c>
      <c r="J194" s="53" t="s">
        <v>483</v>
      </c>
      <c r="K194" s="40">
        <f>+(I194/21)/15*10</f>
        <v>3651.2507936507936</v>
      </c>
      <c r="L194" s="59" t="s">
        <v>17</v>
      </c>
      <c r="M194" s="5" t="s">
        <v>933</v>
      </c>
      <c r="N194" s="5" t="s">
        <v>934</v>
      </c>
    </row>
    <row r="195" spans="1:14" ht="146.25">
      <c r="A195" s="50" t="s">
        <v>941</v>
      </c>
      <c r="B195" s="50" t="s">
        <v>342</v>
      </c>
      <c r="C195" s="89" t="s">
        <v>343</v>
      </c>
      <c r="D195" s="89" t="s">
        <v>936</v>
      </c>
      <c r="E195" s="94" t="s">
        <v>55</v>
      </c>
      <c r="F195" s="94" t="s">
        <v>514</v>
      </c>
      <c r="G195" s="1" t="s">
        <v>937</v>
      </c>
      <c r="H195" s="1" t="s">
        <v>938</v>
      </c>
      <c r="I195" s="2">
        <v>124415.2</v>
      </c>
      <c r="J195" s="53" t="s">
        <v>483</v>
      </c>
      <c r="K195" s="40">
        <f>+(I195/21)/25*10</f>
        <v>2369.813333333333</v>
      </c>
      <c r="L195" s="59" t="s">
        <v>17</v>
      </c>
      <c r="M195" s="5" t="s">
        <v>933</v>
      </c>
      <c r="N195" s="5" t="s">
        <v>934</v>
      </c>
    </row>
    <row r="196" spans="1:14" ht="146.25">
      <c r="A196" s="5">
        <v>1014061</v>
      </c>
      <c r="B196" s="5" t="s">
        <v>342</v>
      </c>
      <c r="C196" s="5" t="s">
        <v>343</v>
      </c>
      <c r="D196" s="5" t="s">
        <v>942</v>
      </c>
      <c r="E196" s="1" t="s">
        <v>55</v>
      </c>
      <c r="F196" s="1" t="s">
        <v>344</v>
      </c>
      <c r="G196" s="1" t="s">
        <v>943</v>
      </c>
      <c r="H196" s="1" t="s">
        <v>944</v>
      </c>
      <c r="I196" s="2">
        <v>109917.1</v>
      </c>
      <c r="J196" s="53" t="s">
        <v>483</v>
      </c>
      <c r="K196" s="40">
        <f>+(I196/21)/10*10</f>
        <v>5234.147619047619</v>
      </c>
      <c r="L196" s="59" t="s">
        <v>17</v>
      </c>
      <c r="M196" s="5" t="s">
        <v>933</v>
      </c>
      <c r="N196" s="5" t="s">
        <v>934</v>
      </c>
    </row>
    <row r="197" spans="1:14" ht="146.25">
      <c r="A197" s="5">
        <v>1014060</v>
      </c>
      <c r="B197" s="5" t="s">
        <v>342</v>
      </c>
      <c r="C197" s="5" t="s">
        <v>343</v>
      </c>
      <c r="D197" s="5" t="s">
        <v>942</v>
      </c>
      <c r="E197" s="1" t="s">
        <v>55</v>
      </c>
      <c r="F197" s="1" t="s">
        <v>514</v>
      </c>
      <c r="G197" s="1" t="s">
        <v>943</v>
      </c>
      <c r="H197" s="1" t="s">
        <v>944</v>
      </c>
      <c r="I197" s="2">
        <v>124415.2</v>
      </c>
      <c r="J197" s="53" t="s">
        <v>483</v>
      </c>
      <c r="K197" s="40">
        <f>+(I197/21)/25*10</f>
        <v>2369.813333333333</v>
      </c>
      <c r="L197" s="122" t="s">
        <v>17</v>
      </c>
      <c r="M197" s="5" t="s">
        <v>933</v>
      </c>
      <c r="N197" s="5" t="s">
        <v>934</v>
      </c>
    </row>
    <row r="198" spans="1:14" ht="146.25">
      <c r="A198" s="5">
        <v>1014062</v>
      </c>
      <c r="B198" s="5" t="s">
        <v>342</v>
      </c>
      <c r="C198" s="5" t="s">
        <v>343</v>
      </c>
      <c r="D198" s="5" t="s">
        <v>945</v>
      </c>
      <c r="E198" s="1" t="s">
        <v>55</v>
      </c>
      <c r="F198" s="1" t="s">
        <v>344</v>
      </c>
      <c r="G198" s="1" t="s">
        <v>946</v>
      </c>
      <c r="H198" s="1" t="s">
        <v>947</v>
      </c>
      <c r="I198" s="2">
        <v>109917.1</v>
      </c>
      <c r="J198" s="53" t="s">
        <v>483</v>
      </c>
      <c r="K198" s="40">
        <f>+(I198/21)/10*10</f>
        <v>5234.147619047619</v>
      </c>
      <c r="L198" s="122" t="s">
        <v>17</v>
      </c>
      <c r="M198" s="5" t="s">
        <v>933</v>
      </c>
      <c r="N198" s="5" t="s">
        <v>934</v>
      </c>
    </row>
    <row r="199" spans="1:14" ht="146.25">
      <c r="A199" s="5">
        <v>1014063</v>
      </c>
      <c r="B199" s="55" t="s">
        <v>342</v>
      </c>
      <c r="C199" s="55" t="s">
        <v>343</v>
      </c>
      <c r="D199" s="55" t="s">
        <v>945</v>
      </c>
      <c r="E199" s="1" t="s">
        <v>55</v>
      </c>
      <c r="F199" s="1" t="s">
        <v>514</v>
      </c>
      <c r="G199" s="1" t="s">
        <v>946</v>
      </c>
      <c r="H199" s="1" t="s">
        <v>947</v>
      </c>
      <c r="I199" s="2">
        <v>124415.2</v>
      </c>
      <c r="J199" s="53" t="s">
        <v>483</v>
      </c>
      <c r="K199" s="40">
        <f>+(I199/21)/25*10</f>
        <v>2369.813333333333</v>
      </c>
      <c r="L199" s="122" t="s">
        <v>17</v>
      </c>
      <c r="M199" s="5" t="s">
        <v>933</v>
      </c>
      <c r="N199" s="5" t="s">
        <v>934</v>
      </c>
    </row>
    <row r="200" spans="1:14" ht="45">
      <c r="A200" s="4" t="s">
        <v>235</v>
      </c>
      <c r="B200" s="5" t="s">
        <v>165</v>
      </c>
      <c r="C200" s="4" t="s">
        <v>166</v>
      </c>
      <c r="D200" s="5" t="s">
        <v>167</v>
      </c>
      <c r="E200" s="1" t="s">
        <v>66</v>
      </c>
      <c r="F200" s="1" t="s">
        <v>383</v>
      </c>
      <c r="G200" s="1" t="s">
        <v>948</v>
      </c>
      <c r="H200" s="1" t="s">
        <v>949</v>
      </c>
      <c r="I200" s="21">
        <v>5209.9</v>
      </c>
      <c r="J200" s="2" t="s">
        <v>168</v>
      </c>
      <c r="K200" s="2">
        <f>I200/1/4*4</f>
        <v>5209.9</v>
      </c>
      <c r="L200" s="38" t="s">
        <v>17</v>
      </c>
      <c r="M200" s="32" t="s">
        <v>448</v>
      </c>
      <c r="N200" s="5" t="s">
        <v>447</v>
      </c>
    </row>
    <row r="201" spans="1:14" ht="45">
      <c r="A201" s="4" t="s">
        <v>236</v>
      </c>
      <c r="B201" s="5" t="s">
        <v>165</v>
      </c>
      <c r="C201" s="5" t="s">
        <v>166</v>
      </c>
      <c r="D201" s="5" t="s">
        <v>169</v>
      </c>
      <c r="E201" s="1" t="s">
        <v>66</v>
      </c>
      <c r="F201" s="1" t="s">
        <v>170</v>
      </c>
      <c r="G201" s="1" t="s">
        <v>42</v>
      </c>
      <c r="H201" s="1" t="s">
        <v>29</v>
      </c>
      <c r="I201" s="21">
        <v>5209.9</v>
      </c>
      <c r="J201" s="2" t="s">
        <v>168</v>
      </c>
      <c r="K201" s="2">
        <f>I201/4*4</f>
        <v>5209.9</v>
      </c>
      <c r="L201" s="38" t="s">
        <v>17</v>
      </c>
      <c r="M201" s="32" t="s">
        <v>448</v>
      </c>
      <c r="N201" s="5" t="s">
        <v>447</v>
      </c>
    </row>
    <row r="202" spans="1:14" s="41" customFormat="1" ht="45">
      <c r="A202" s="17" t="s">
        <v>237</v>
      </c>
      <c r="B202" s="17" t="s">
        <v>165</v>
      </c>
      <c r="C202" s="17" t="s">
        <v>166</v>
      </c>
      <c r="D202" s="17" t="s">
        <v>187</v>
      </c>
      <c r="E202" s="18" t="s">
        <v>66</v>
      </c>
      <c r="F202" s="18" t="s">
        <v>188</v>
      </c>
      <c r="G202" s="18" t="s">
        <v>189</v>
      </c>
      <c r="H202" s="18" t="s">
        <v>54</v>
      </c>
      <c r="I202" s="21">
        <v>5209.9</v>
      </c>
      <c r="J202" s="19" t="s">
        <v>186</v>
      </c>
      <c r="K202" s="20">
        <f>I202/4*4</f>
        <v>5209.9</v>
      </c>
      <c r="L202" s="38" t="s">
        <v>17</v>
      </c>
      <c r="M202" s="34" t="s">
        <v>448</v>
      </c>
      <c r="N202" s="5" t="s">
        <v>447</v>
      </c>
    </row>
    <row r="203" spans="1:14" s="41" customFormat="1" ht="56.25">
      <c r="A203" s="17" t="s">
        <v>250</v>
      </c>
      <c r="B203" s="17" t="s">
        <v>165</v>
      </c>
      <c r="C203" s="17" t="s">
        <v>166</v>
      </c>
      <c r="D203" s="17" t="s">
        <v>251</v>
      </c>
      <c r="E203" s="18" t="s">
        <v>66</v>
      </c>
      <c r="F203" s="18" t="s">
        <v>252</v>
      </c>
      <c r="G203" s="18" t="s">
        <v>253</v>
      </c>
      <c r="H203" s="18" t="s">
        <v>254</v>
      </c>
      <c r="I203" s="21">
        <v>5209.9</v>
      </c>
      <c r="J203" s="19" t="s">
        <v>168</v>
      </c>
      <c r="K203" s="20">
        <f>I203/1/4*4</f>
        <v>5209.9</v>
      </c>
      <c r="L203" s="38" t="s">
        <v>17</v>
      </c>
      <c r="M203" s="34" t="s">
        <v>448</v>
      </c>
      <c r="N203" s="5" t="s">
        <v>447</v>
      </c>
    </row>
    <row r="204" spans="1:14" ht="33.75">
      <c r="A204" s="4" t="s">
        <v>238</v>
      </c>
      <c r="B204" s="5" t="s">
        <v>171</v>
      </c>
      <c r="C204" s="5" t="s">
        <v>172</v>
      </c>
      <c r="D204" s="5" t="s">
        <v>173</v>
      </c>
      <c r="E204" s="1" t="s">
        <v>53</v>
      </c>
      <c r="F204" s="1" t="s">
        <v>174</v>
      </c>
      <c r="G204" s="1" t="s">
        <v>175</v>
      </c>
      <c r="H204" s="1" t="s">
        <v>60</v>
      </c>
      <c r="I204" s="21">
        <v>12329.8</v>
      </c>
      <c r="J204" s="1" t="s">
        <v>176</v>
      </c>
      <c r="K204" s="2">
        <f>I204/56/50*100</f>
        <v>440.3499999999999</v>
      </c>
      <c r="L204" s="38" t="s">
        <v>17</v>
      </c>
      <c r="M204" s="35" t="s">
        <v>449</v>
      </c>
      <c r="N204" s="5" t="s">
        <v>797</v>
      </c>
    </row>
    <row r="205" spans="1:14" ht="67.5">
      <c r="A205" s="66">
        <v>1079020</v>
      </c>
      <c r="B205" s="5" t="s">
        <v>950</v>
      </c>
      <c r="C205" s="61" t="s">
        <v>634</v>
      </c>
      <c r="D205" s="61" t="s">
        <v>635</v>
      </c>
      <c r="E205" s="67" t="s">
        <v>636</v>
      </c>
      <c r="F205" s="67" t="s">
        <v>637</v>
      </c>
      <c r="G205" s="1" t="s">
        <v>910</v>
      </c>
      <c r="H205" s="1" t="s">
        <v>911</v>
      </c>
      <c r="I205" s="21">
        <f>ROUND(10530.78,1)</f>
        <v>10530.8</v>
      </c>
      <c r="J205" s="59" t="s">
        <v>638</v>
      </c>
      <c r="K205" s="21">
        <f>(I205/1.68)*0.48</f>
        <v>3008.7999999999997</v>
      </c>
      <c r="L205" s="70" t="s">
        <v>17</v>
      </c>
      <c r="M205" s="61" t="s">
        <v>438</v>
      </c>
      <c r="N205" s="61" t="s">
        <v>435</v>
      </c>
    </row>
    <row r="206" spans="1:14" ht="67.5">
      <c r="A206" s="66">
        <v>1079021</v>
      </c>
      <c r="B206" s="5" t="s">
        <v>950</v>
      </c>
      <c r="C206" s="61" t="s">
        <v>634</v>
      </c>
      <c r="D206" s="61" t="s">
        <v>635</v>
      </c>
      <c r="E206" s="67" t="s">
        <v>636</v>
      </c>
      <c r="F206" s="67" t="s">
        <v>369</v>
      </c>
      <c r="G206" s="1" t="s">
        <v>910</v>
      </c>
      <c r="H206" s="1" t="s">
        <v>911</v>
      </c>
      <c r="I206" s="21">
        <f>ROUND(76347.03,1)</f>
        <v>76347</v>
      </c>
      <c r="J206" s="59" t="s">
        <v>638</v>
      </c>
      <c r="K206" s="21">
        <f>(I206/13.44)*0.48</f>
        <v>2726.6785714285716</v>
      </c>
      <c r="L206" s="70" t="s">
        <v>17</v>
      </c>
      <c r="M206" s="61" t="s">
        <v>438</v>
      </c>
      <c r="N206" s="61" t="s">
        <v>435</v>
      </c>
    </row>
    <row r="207" spans="1:14" ht="90">
      <c r="A207" s="4" t="s">
        <v>518</v>
      </c>
      <c r="B207" s="5" t="s">
        <v>519</v>
      </c>
      <c r="C207" s="5" t="s">
        <v>520</v>
      </c>
      <c r="D207" s="5" t="s">
        <v>530</v>
      </c>
      <c r="E207" s="1" t="s">
        <v>27</v>
      </c>
      <c r="F207" s="1" t="s">
        <v>521</v>
      </c>
      <c r="G207" s="1" t="s">
        <v>522</v>
      </c>
      <c r="H207" s="1" t="s">
        <v>523</v>
      </c>
      <c r="I207" s="2">
        <v>67224.9</v>
      </c>
      <c r="J207" s="1" t="s">
        <v>17</v>
      </c>
      <c r="K207" s="2" t="s">
        <v>17</v>
      </c>
      <c r="L207" s="38" t="s">
        <v>17</v>
      </c>
      <c r="M207" s="35" t="s">
        <v>524</v>
      </c>
      <c r="N207" s="5" t="s">
        <v>525</v>
      </c>
    </row>
  </sheetData>
  <sheetProtection/>
  <autoFilter ref="A1:Q207"/>
  <printOptions horizontalCentered="1" verticalCentered="1"/>
  <pageMargins left="0.236220472440945" right="0.236220472440945" top="0.708661417322835" bottom="0.511811023622047" header="0.236220472440945" footer="0.236220472440945"/>
  <pageSetup fitToHeight="0" fitToWidth="1" horizontalDpi="600" verticalDpi="600" orientation="landscape" paperSize="9" scale="61" r:id="rId1"/>
  <headerFooter alignWithMargins="0">
    <oddHeader>&amp;L&amp;"Arial,Bold"Lista C.&amp;"Arial,Regular" Lekovi sa posebnim režimom izdavanja</oddHeader>
    <oddFooter xml:space="preserve">&amp;R&amp;11Strana &amp;P </oddFooter>
  </headerFooter>
  <rowBreaks count="1" manualBreakCount="1">
    <brk id="8" max="13" man="1"/>
  </rowBreaks>
  <ignoredErrors>
    <ignoredError sqref="K140 K6:K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2024-02-06T08:58:22Z</cp:lastPrinted>
  <dcterms:created xsi:type="dcterms:W3CDTF">2014-07-09T13:43:48Z</dcterms:created>
  <dcterms:modified xsi:type="dcterms:W3CDTF">2024-02-06T08:59:02Z</dcterms:modified>
  <cp:category/>
  <cp:version/>
  <cp:contentType/>
  <cp:contentStatus/>
</cp:coreProperties>
</file>